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filterPrivacy="1" autoCompressPictures="0"/>
  <bookViews>
    <workbookView xWindow="0" yWindow="0" windowWidth="38400" windowHeight="18720" tabRatio="1000" activeTab="3"/>
  </bookViews>
  <sheets>
    <sheet name="Cover Page" sheetId="20" r:id="rId1"/>
    <sheet name="Fee Breakdown" sheetId="4" r:id="rId2"/>
    <sheet name="Summary" sheetId="5" r:id="rId3"/>
    <sheet name="General Operations" sheetId="6" r:id="rId4"/>
    <sheet name="Activities &amp; Events" sheetId="7" r:id="rId5"/>
    <sheet name="Communications" sheetId="8" r:id="rId6"/>
    <sheet name="Union Services" sheetId="9" r:id="rId7"/>
    <sheet name="Elected Rep" sheetId="10" r:id="rId8"/>
    <sheet name="Executive" sheetId="11" r:id="rId9"/>
    <sheet name="Student Relations" sheetId="12" r:id="rId10"/>
    <sheet name="Finance" sheetId="13" r:id="rId11"/>
    <sheet name="DriveU" sheetId="14" r:id="rId12"/>
    <sheet name="Golden X Inn" sheetId="17" r:id="rId13"/>
    <sheet name="Info Desk- Acadian Lines" sheetId="19" r:id="rId14"/>
    <sheet name="Clothing Store" sheetId="18" r:id="rId15"/>
    <sheet name="Honorarium" sheetId="16" r:id="rId16"/>
    <sheet name="Appendix" sheetId="15" r:id="rId17"/>
  </sheets>
  <definedNames>
    <definedName name="_xlnm.Print_Area" localSheetId="16">Appendix!$A$1:$E$52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7" l="1"/>
  <c r="D13" i="12"/>
  <c r="D10" i="11"/>
  <c r="D22" i="10"/>
  <c r="D21" i="10"/>
  <c r="D11" i="10"/>
  <c r="F52" i="16"/>
  <c r="D12" i="12"/>
  <c r="F57" i="16"/>
  <c r="D10" i="12"/>
  <c r="F56" i="16"/>
  <c r="D26" i="8"/>
  <c r="D8" i="13"/>
  <c r="F64" i="16"/>
  <c r="D97" i="7"/>
  <c r="F63" i="16"/>
  <c r="F59" i="16"/>
  <c r="D21" i="12"/>
  <c r="F58" i="16"/>
  <c r="D16" i="11"/>
  <c r="F53" i="16"/>
  <c r="F49" i="16"/>
  <c r="F48" i="16"/>
  <c r="F47" i="16"/>
  <c r="F46" i="16"/>
  <c r="D10" i="10"/>
  <c r="F43" i="16"/>
  <c r="D9" i="10"/>
  <c r="F42" i="16"/>
  <c r="D8" i="10"/>
  <c r="F41" i="16"/>
  <c r="F40" i="16"/>
  <c r="D6" i="10"/>
  <c r="F39" i="16"/>
  <c r="D37" i="9"/>
  <c r="F34" i="16"/>
  <c r="F33" i="16"/>
  <c r="D16" i="9"/>
  <c r="F31" i="16"/>
  <c r="F30" i="16"/>
  <c r="F27" i="16"/>
  <c r="F26" i="16"/>
  <c r="E24" i="15"/>
  <c r="F25" i="16"/>
  <c r="E23" i="15"/>
  <c r="F24" i="16"/>
  <c r="E21" i="15"/>
  <c r="F22" i="16"/>
  <c r="F21" i="16"/>
  <c r="D29" i="8"/>
  <c r="F20" i="16"/>
  <c r="D45" i="7"/>
  <c r="F16" i="16"/>
  <c r="F15" i="16"/>
  <c r="F6" i="16"/>
  <c r="F7" i="16"/>
  <c r="F8" i="16"/>
  <c r="F9" i="16"/>
  <c r="F10" i="16"/>
  <c r="F11" i="16"/>
  <c r="F5" i="16"/>
  <c r="F67" i="16"/>
  <c r="D23" i="13"/>
  <c r="E14" i="5"/>
  <c r="E22" i="15"/>
  <c r="D9" i="13"/>
  <c r="D12" i="13"/>
  <c r="D24" i="13"/>
  <c r="D101" i="7"/>
  <c r="D21" i="13"/>
  <c r="C44" i="15"/>
  <c r="E44" i="15"/>
  <c r="D23" i="10"/>
  <c r="E32" i="5"/>
  <c r="D25" i="13"/>
  <c r="D11" i="8"/>
  <c r="D19" i="17"/>
  <c r="D22" i="12"/>
  <c r="D28" i="11"/>
  <c r="D43" i="6"/>
  <c r="D13" i="11"/>
  <c r="D6" i="11"/>
  <c r="D15" i="10"/>
  <c r="D20" i="19"/>
  <c r="E35" i="5"/>
  <c r="D9" i="19"/>
  <c r="E36" i="15"/>
  <c r="E10" i="15"/>
  <c r="D19" i="14"/>
  <c r="E33" i="5"/>
  <c r="D8" i="14"/>
  <c r="D27" i="12"/>
  <c r="E13" i="5"/>
  <c r="D15" i="12"/>
  <c r="D36" i="11"/>
  <c r="D19" i="11"/>
  <c r="D46" i="9"/>
  <c r="E10" i="5"/>
  <c r="D38" i="9"/>
  <c r="D28" i="9"/>
  <c r="D18" i="9"/>
  <c r="D10" i="9"/>
  <c r="D47" i="9"/>
  <c r="E28" i="5"/>
  <c r="E25" i="15"/>
  <c r="D33" i="8"/>
  <c r="E47" i="15"/>
  <c r="D36" i="8"/>
  <c r="D30" i="8"/>
  <c r="D21" i="8"/>
  <c r="E9" i="5"/>
  <c r="D57" i="7"/>
  <c r="D78" i="7"/>
  <c r="D92" i="7"/>
  <c r="D94" i="7"/>
  <c r="D69" i="7"/>
  <c r="D49" i="7"/>
  <c r="D34" i="7"/>
  <c r="D25" i="7"/>
  <c r="D104" i="7"/>
  <c r="D9" i="7"/>
  <c r="D17" i="18"/>
  <c r="D19" i="18"/>
  <c r="D43" i="17"/>
  <c r="E34" i="5"/>
  <c r="D30" i="11"/>
  <c r="D24" i="10"/>
  <c r="D26" i="10"/>
  <c r="E29" i="5"/>
  <c r="D12" i="17"/>
  <c r="E16" i="5"/>
  <c r="E25" i="5"/>
  <c r="E18" i="5"/>
  <c r="D67" i="16"/>
  <c r="C10" i="15"/>
  <c r="C25" i="15"/>
  <c r="C27" i="15"/>
  <c r="C36" i="15"/>
  <c r="C8" i="4"/>
  <c r="C9" i="4"/>
  <c r="C18" i="4"/>
  <c r="C21" i="4"/>
  <c r="C22" i="4"/>
  <c r="C23" i="4"/>
  <c r="C16" i="4"/>
  <c r="D22" i="19"/>
  <c r="D21" i="14"/>
  <c r="D103" i="7"/>
  <c r="D51" i="7"/>
  <c r="D71" i="7"/>
  <c r="E27" i="15"/>
  <c r="E36" i="5"/>
  <c r="E15" i="5"/>
  <c r="D28" i="12"/>
  <c r="D29" i="12"/>
  <c r="C25" i="4"/>
  <c r="E17" i="5"/>
  <c r="D45" i="17"/>
  <c r="E49" i="15"/>
  <c r="E53" i="15"/>
  <c r="D41" i="8"/>
  <c r="E27" i="5"/>
  <c r="D38" i="11"/>
  <c r="E30" i="5"/>
  <c r="E26" i="5"/>
  <c r="E8" i="5"/>
  <c r="D27" i="7"/>
  <c r="E31" i="5"/>
  <c r="D105" i="7"/>
  <c r="D7" i="6"/>
  <c r="D16" i="6"/>
  <c r="D43" i="8"/>
  <c r="D48" i="9"/>
  <c r="E38" i="5"/>
  <c r="D45" i="6"/>
  <c r="E7" i="5"/>
  <c r="E20" i="5"/>
  <c r="E40" i="5"/>
</calcChain>
</file>

<file path=xl/sharedStrings.xml><?xml version="1.0" encoding="utf-8"?>
<sst xmlns="http://schemas.openxmlformats.org/spreadsheetml/2006/main" count="624" uniqueCount="353">
  <si>
    <t>Student Union Breakdown on General Fees</t>
  </si>
  <si>
    <t>Current Student Fee</t>
  </si>
  <si>
    <t>Percentage Increase</t>
  </si>
  <si>
    <t>Dollar Increase</t>
  </si>
  <si>
    <t xml:space="preserve">Proposed Fee per student </t>
  </si>
  <si>
    <t>Proposed Enrollment</t>
  </si>
  <si>
    <t>Capital Fund</t>
  </si>
  <si>
    <t>Total Capital Fund Revenue</t>
  </si>
  <si>
    <t>Total Student Fee Revenue Projected</t>
  </si>
  <si>
    <t>Dedicated Money</t>
  </si>
  <si>
    <t>WUSC</t>
  </si>
  <si>
    <t>Athletics</t>
  </si>
  <si>
    <t>Fees available for Operating Budget</t>
  </si>
  <si>
    <t>Net Income/(Loss)</t>
  </si>
  <si>
    <t>Total Expenses</t>
  </si>
  <si>
    <t>DriveU</t>
  </si>
  <si>
    <t>Finance</t>
  </si>
  <si>
    <t>Student Relations</t>
  </si>
  <si>
    <t>Executive</t>
  </si>
  <si>
    <t>Elected Representative</t>
  </si>
  <si>
    <t>Union Services</t>
  </si>
  <si>
    <t>Communications</t>
  </si>
  <si>
    <t>Activities &amp; Events</t>
  </si>
  <si>
    <t>General</t>
  </si>
  <si>
    <t>0000</t>
  </si>
  <si>
    <t>Expenses</t>
  </si>
  <si>
    <t>Total Revenues</t>
  </si>
  <si>
    <t>Student Executive</t>
  </si>
  <si>
    <t>Revenues</t>
  </si>
  <si>
    <t>Notes</t>
  </si>
  <si>
    <t>2012-2013</t>
  </si>
  <si>
    <t>Budget</t>
  </si>
  <si>
    <t>Summary</t>
  </si>
  <si>
    <t>3   Pepsi Sponsorship per pop sold in vending machines, rather than lump sum</t>
  </si>
  <si>
    <t>2   Health and Dental increased proportionatly</t>
  </si>
  <si>
    <t>1   Student Fees increase 0%</t>
  </si>
  <si>
    <t>Capital Investment Expenditure</t>
  </si>
  <si>
    <t>Debt Repayment</t>
  </si>
  <si>
    <t>Salaries and Benefits</t>
  </si>
  <si>
    <t>Computer Lease</t>
  </si>
  <si>
    <t>Repairs &amp; Maintenance</t>
  </si>
  <si>
    <t>Association fees</t>
  </si>
  <si>
    <t>Campus Trust</t>
  </si>
  <si>
    <t>Professional Development</t>
  </si>
  <si>
    <t>Interest</t>
  </si>
  <si>
    <t>Lease - Photocopier</t>
  </si>
  <si>
    <t>Insurance</t>
  </si>
  <si>
    <t>Donations - General</t>
  </si>
  <si>
    <t>Depreciation-Equipment</t>
  </si>
  <si>
    <t>Bank Service Charges</t>
  </si>
  <si>
    <t>Bad Debt Expense</t>
  </si>
  <si>
    <t>Annual Giving</t>
  </si>
  <si>
    <t>Health and Dental Insurance Premiums</t>
  </si>
  <si>
    <t>Postage - Health Plan</t>
  </si>
  <si>
    <t>Audit Fees</t>
  </si>
  <si>
    <t>Conference</t>
  </si>
  <si>
    <t>Vending/ Pop Machines</t>
  </si>
  <si>
    <t>Bank Machines</t>
  </si>
  <si>
    <t>Pepsi Sponsorship</t>
  </si>
  <si>
    <t>Photocopying</t>
  </si>
  <si>
    <t>Rentals and Table Space</t>
  </si>
  <si>
    <t>Health &amp; Dental Insurance Premiums</t>
  </si>
  <si>
    <t>Student Fees</t>
  </si>
  <si>
    <t>General Operations</t>
  </si>
  <si>
    <t>Total Activities Expenses</t>
  </si>
  <si>
    <t>Total Activities Revenues</t>
  </si>
  <si>
    <t>Net Income</t>
  </si>
  <si>
    <t>Senior Pres/VP Operations</t>
  </si>
  <si>
    <t>Wages</t>
  </si>
  <si>
    <t xml:space="preserve">Rental </t>
  </si>
  <si>
    <t>Decorations</t>
  </si>
  <si>
    <t>Food Service</t>
  </si>
  <si>
    <t>Liquor Expense</t>
  </si>
  <si>
    <t>Bar Staff</t>
  </si>
  <si>
    <t>Security</t>
  </si>
  <si>
    <t>Production</t>
  </si>
  <si>
    <t>Bands &amp; Entertainment</t>
  </si>
  <si>
    <t>Total Revenue</t>
  </si>
  <si>
    <t>Liquor Sales</t>
  </si>
  <si>
    <t>Tickets</t>
  </si>
  <si>
    <t>Revenue</t>
  </si>
  <si>
    <t>Graduation</t>
  </si>
  <si>
    <t>Printing - Tickets</t>
  </si>
  <si>
    <t>Supplies</t>
  </si>
  <si>
    <t xml:space="preserve">Revenue </t>
  </si>
  <si>
    <t>X-Ring</t>
  </si>
  <si>
    <t>O-Crew Appreciation</t>
  </si>
  <si>
    <t>International Week</t>
  </si>
  <si>
    <t>O-Crew Supplies</t>
  </si>
  <si>
    <t>O-Crew Chairs</t>
  </si>
  <si>
    <t>Rental</t>
  </si>
  <si>
    <t>Printing-Tickets</t>
  </si>
  <si>
    <t>Frosh Kit Products</t>
  </si>
  <si>
    <t>Frosh Kits/Tkts</t>
  </si>
  <si>
    <t>Labatt Sponsorship</t>
  </si>
  <si>
    <t>Sponsorship</t>
  </si>
  <si>
    <t>Frosh Week</t>
  </si>
  <si>
    <t>COCA Conference</t>
  </si>
  <si>
    <t>Sub-Executive Appreciation</t>
  </si>
  <si>
    <t>Entertainment Coordinator (2)</t>
  </si>
  <si>
    <t>Rentals</t>
  </si>
  <si>
    <t xml:space="preserve">Printing - Tickets </t>
  </si>
  <si>
    <t>Ticket Sales</t>
  </si>
  <si>
    <t xml:space="preserve"> Activities and Events</t>
  </si>
  <si>
    <t>Total Expense</t>
  </si>
  <si>
    <t>Printing &amp; Publication</t>
  </si>
  <si>
    <t>Calendar</t>
  </si>
  <si>
    <t>Expenses - Appendix B</t>
  </si>
  <si>
    <t>Xaverian Weekly</t>
  </si>
  <si>
    <t>Expenses - Appendix A</t>
  </si>
  <si>
    <t>CFXU Radio</t>
  </si>
  <si>
    <t>Total Publicity Expense</t>
  </si>
  <si>
    <t>Contract Phototgrapher</t>
  </si>
  <si>
    <t>Marketing Team</t>
  </si>
  <si>
    <t>Publications and Printing</t>
  </si>
  <si>
    <t>Operations</t>
  </si>
  <si>
    <t>Publicity</t>
  </si>
  <si>
    <t>Total General Expense</t>
  </si>
  <si>
    <t>Equipment</t>
  </si>
  <si>
    <t>Web Administrator</t>
  </si>
  <si>
    <t>Sub-Exec Appreciation</t>
  </si>
  <si>
    <t>Technological Development</t>
  </si>
  <si>
    <t>Advertising</t>
  </si>
  <si>
    <t>Late Night Study Space</t>
  </si>
  <si>
    <t>Honorarium</t>
  </si>
  <si>
    <t>Net Expenses</t>
  </si>
  <si>
    <t>Telephone</t>
  </si>
  <si>
    <t>Food Resource Centre</t>
  </si>
  <si>
    <t>Net Profit</t>
  </si>
  <si>
    <t>Liquor Supplies</t>
  </si>
  <si>
    <t>Mixology</t>
  </si>
  <si>
    <t xml:space="preserve">Website </t>
  </si>
  <si>
    <t>Housing Commission</t>
  </si>
  <si>
    <t>Housing Office</t>
  </si>
  <si>
    <t>Honorarium (2)</t>
  </si>
  <si>
    <t>Environment</t>
  </si>
  <si>
    <t>Advocate Honorarium (3)</t>
  </si>
  <si>
    <t>Total Elected Representative Expense</t>
  </si>
  <si>
    <t>Total OER Expenses</t>
  </si>
  <si>
    <t>Senior Class President/VP</t>
  </si>
  <si>
    <t>Senators (5)</t>
  </si>
  <si>
    <t>BOG (2)</t>
  </si>
  <si>
    <t>Other Elected Representative</t>
  </si>
  <si>
    <t>Election Expenses</t>
  </si>
  <si>
    <t>Elections</t>
  </si>
  <si>
    <t>Total Council Expenses</t>
  </si>
  <si>
    <t>T-Shirts</t>
  </si>
  <si>
    <t>Sub-exec appreciation</t>
  </si>
  <si>
    <t>Training</t>
  </si>
  <si>
    <t>Chair of Council</t>
  </si>
  <si>
    <t>Returning Officer (2)</t>
  </si>
  <si>
    <t>Chief Returning Officer</t>
  </si>
  <si>
    <t>Deputy Chair</t>
  </si>
  <si>
    <t>Council Operations</t>
    <phoneticPr fontId="0" type="noConversion"/>
  </si>
  <si>
    <t>Council</t>
  </si>
  <si>
    <t>Students' Union Elected Representative</t>
  </si>
  <si>
    <t>Total Executive Expense</t>
  </si>
  <si>
    <t>Total CASA Expense</t>
  </si>
  <si>
    <t>Campaign Expense</t>
  </si>
  <si>
    <t>Conference Expense</t>
  </si>
  <si>
    <t>Membership</t>
  </si>
  <si>
    <t>CASA</t>
  </si>
  <si>
    <t>Total ANSSA Expense</t>
  </si>
  <si>
    <t>ANSSA</t>
  </si>
  <si>
    <t>Transition Training</t>
  </si>
  <si>
    <t>Executive Training</t>
  </si>
  <si>
    <t>Awards Banquet</t>
  </si>
  <si>
    <t>Awards</t>
  </si>
  <si>
    <t>Total General Expenses</t>
  </si>
  <si>
    <t>Postage</t>
  </si>
  <si>
    <t>Research Officers (2)</t>
  </si>
  <si>
    <t>Exec Operations</t>
  </si>
  <si>
    <t>Water Coolers</t>
  </si>
  <si>
    <t>Cell Phones</t>
  </si>
  <si>
    <t>Printing</t>
  </si>
  <si>
    <t>Honorarium (7)</t>
  </si>
  <si>
    <t>Food</t>
  </si>
  <si>
    <t>Equity Operations</t>
  </si>
  <si>
    <t>Equity Advocate (2)</t>
  </si>
  <si>
    <t>Students' Union Executive</t>
  </si>
  <si>
    <t>Addition of OC Community engagement fair</t>
  </si>
  <si>
    <t>Total SR Expense</t>
  </si>
  <si>
    <t>Total SR Revenue</t>
  </si>
  <si>
    <t>House President Training</t>
  </si>
  <si>
    <t>Off Campus Expense</t>
  </si>
  <si>
    <t>Off Campus Leaders</t>
  </si>
  <si>
    <t>Off-Campus Shirts</t>
  </si>
  <si>
    <t>Off Campus</t>
  </si>
  <si>
    <t>Hockey Cup Coordinator</t>
  </si>
  <si>
    <t>House Council Coordinator (2)</t>
    <phoneticPr fontId="0" type="noConversion"/>
  </si>
  <si>
    <t>VP Honorarium (14)</t>
  </si>
  <si>
    <t>Presidents' Honorarium (11)</t>
  </si>
  <si>
    <t>Off-Campus Event Fundraising</t>
  </si>
  <si>
    <t>Allocations</t>
  </si>
  <si>
    <t>Society Coordinator</t>
  </si>
  <si>
    <t>Societies Expense</t>
  </si>
  <si>
    <t>Commissions</t>
  </si>
  <si>
    <t>Sponsorship Coordinator</t>
  </si>
  <si>
    <t>House Accounts Coordinator</t>
  </si>
  <si>
    <t>Office Supplies</t>
  </si>
  <si>
    <t>Registration</t>
  </si>
  <si>
    <t>Vechicle Depreciation</t>
    <phoneticPr fontId="0" type="noConversion"/>
  </si>
  <si>
    <t>Gas</t>
  </si>
  <si>
    <t>Other Sponsorship</t>
  </si>
  <si>
    <t>Website</t>
  </si>
  <si>
    <t>Staff Honorarium</t>
  </si>
  <si>
    <t>Editor Honorarium</t>
  </si>
  <si>
    <t>Canadian Uni. Press Fee</t>
  </si>
  <si>
    <t>Depreciation/Equipment</t>
  </si>
  <si>
    <t>Online Advertising</t>
  </si>
  <si>
    <t>CUP Advertising</t>
  </si>
  <si>
    <t>Appendix B- Xaverian Weekly: 2300</t>
  </si>
  <si>
    <t>Summer Staff Honorarium</t>
  </si>
  <si>
    <t>Finance &amp; Ads Manager</t>
  </si>
  <si>
    <t>Station Manager</t>
  </si>
  <si>
    <t>License Fees</t>
  </si>
  <si>
    <t>Repairs/Maintenance</t>
  </si>
  <si>
    <t>Commision</t>
  </si>
  <si>
    <t>Fundraising</t>
  </si>
  <si>
    <t>Appendix A- CFXU: 2200</t>
  </si>
  <si>
    <t>Appendix</t>
  </si>
  <si>
    <t>Total</t>
  </si>
  <si>
    <t xml:space="preserve"> - Sponsorship Coordinator</t>
  </si>
  <si>
    <t xml:space="preserve"> - House Accounts Coordinator</t>
  </si>
  <si>
    <t xml:space="preserve"> - Society Coordinator</t>
  </si>
  <si>
    <t xml:space="preserve"> - House Cup Coordinator</t>
  </si>
  <si>
    <t xml:space="preserve"> -House Council Coordinator (2)</t>
    <phoneticPr fontId="0" type="noConversion"/>
  </si>
  <si>
    <t xml:space="preserve"> - VP House Presidents (14)</t>
  </si>
  <si>
    <t xml:space="preserve"> - House Presidents (11)</t>
  </si>
  <si>
    <t xml:space="preserve"> - Research Officers (2)</t>
  </si>
  <si>
    <t xml:space="preserve"> - Equity Advocate (2)</t>
    <phoneticPr fontId="0" type="noConversion"/>
  </si>
  <si>
    <t xml:space="preserve"> - Senior Class VP</t>
  </si>
  <si>
    <t xml:space="preserve"> - Senior Class President</t>
  </si>
  <si>
    <t xml:space="preserve"> - Senators (5)</t>
  </si>
  <si>
    <t xml:space="preserve"> -BOG (2)</t>
  </si>
  <si>
    <t xml:space="preserve"> - Returning Officers (2)</t>
  </si>
  <si>
    <t xml:space="preserve"> - Chief Returning Officer</t>
  </si>
  <si>
    <t xml:space="preserve"> - Deputy Chair of Council</t>
  </si>
  <si>
    <t xml:space="preserve"> - Chair of Council</t>
  </si>
  <si>
    <t xml:space="preserve"> - DriveU Senior</t>
  </si>
  <si>
    <t xml:space="preserve"> -Yoga Instructor</t>
  </si>
  <si>
    <t xml:space="preserve"> - Food Centre Coordinator</t>
  </si>
  <si>
    <t xml:space="preserve"> - Mixology Instructors</t>
  </si>
  <si>
    <t xml:space="preserve"> - Darkroom/Design Studio Director</t>
  </si>
  <si>
    <t xml:space="preserve"> - Environmental Officer(2)</t>
  </si>
  <si>
    <t xml:space="preserve"> - Advocate (3)</t>
  </si>
  <si>
    <t xml:space="preserve"> - Xaverian Weekly Staff</t>
  </si>
  <si>
    <t xml:space="preserve"> - Xaverian Weekly Editor</t>
  </si>
  <si>
    <t xml:space="preserve"> - CFXU Staff </t>
  </si>
  <si>
    <t xml:space="preserve"> - CFXU Summer Staff</t>
  </si>
  <si>
    <t xml:space="preserve"> - CFXU External Manager</t>
  </si>
  <si>
    <t xml:space="preserve"> - CFXU Station Manager</t>
  </si>
  <si>
    <t xml:space="preserve"> - Marketing Team</t>
  </si>
  <si>
    <t xml:space="preserve"> - Web Administrator</t>
  </si>
  <si>
    <t xml:space="preserve"> - O-Crew Chairs (2)</t>
  </si>
  <si>
    <t xml:space="preserve"> - Entertainment Coordinator (2)</t>
  </si>
  <si>
    <t>Activities</t>
  </si>
  <si>
    <t>Sub- Executive by department:</t>
  </si>
  <si>
    <t>VP Union Services</t>
  </si>
  <si>
    <t>VP Student Relations</t>
  </si>
  <si>
    <t>VP Communications</t>
  </si>
  <si>
    <t>VP Activities</t>
  </si>
  <si>
    <t>VP Finance</t>
  </si>
  <si>
    <t>VP Executive</t>
  </si>
  <si>
    <t>President</t>
  </si>
  <si>
    <t>Honorariun Breakdown</t>
  </si>
  <si>
    <t>Net Profit (Loss)</t>
  </si>
  <si>
    <t>Appreciation</t>
  </si>
  <si>
    <t>Buspersons</t>
  </si>
  <si>
    <t>Servers</t>
  </si>
  <si>
    <t>Clothing - Uniforms</t>
  </si>
  <si>
    <t>Liquor Purchases</t>
  </si>
  <si>
    <t>Managers</t>
  </si>
  <si>
    <t>Juice and Pop</t>
  </si>
  <si>
    <t>Groceries</t>
  </si>
  <si>
    <t>Cups and Glassware</t>
  </si>
  <si>
    <t xml:space="preserve">Freight </t>
  </si>
  <si>
    <t>Socan Taxes</t>
  </si>
  <si>
    <t>Payroll Services Fees</t>
  </si>
  <si>
    <t>Employee Deductions</t>
  </si>
  <si>
    <t>Cleaning Services</t>
  </si>
  <si>
    <t>Bartenders</t>
  </si>
  <si>
    <t>Activities Dept. Events</t>
  </si>
  <si>
    <t>Promo/Sponsorship</t>
  </si>
  <si>
    <t>Pool Table</t>
  </si>
  <si>
    <t>Food Sales</t>
  </si>
  <si>
    <t>Beer Bottle Exchange</t>
  </si>
  <si>
    <t>Gate Sales</t>
  </si>
  <si>
    <t>Golden X Inn</t>
  </si>
  <si>
    <t>Employee Appreciation</t>
  </si>
  <si>
    <t>Payroll Service fees</t>
  </si>
  <si>
    <t>Clothing Purchases</t>
  </si>
  <si>
    <t>Clothing Sales</t>
  </si>
  <si>
    <t>Clothing Store</t>
  </si>
  <si>
    <t xml:space="preserve">Notes </t>
  </si>
  <si>
    <t>Purchase - Supplies</t>
  </si>
  <si>
    <t>Info Desk Staff Appreciation</t>
  </si>
  <si>
    <t>Information Desk Clerks</t>
  </si>
  <si>
    <t>Payroll Service Fees</t>
  </si>
  <si>
    <t>Fax &amp; Printing</t>
  </si>
  <si>
    <t>ISIC Cards</t>
  </si>
  <si>
    <t>SUB Advertising</t>
  </si>
  <si>
    <t>Info Desk/Acadian Lines</t>
  </si>
  <si>
    <t>St. Francis Xavier Students' Union</t>
  </si>
  <si>
    <t>Info Desk</t>
  </si>
  <si>
    <t>2013-2014</t>
  </si>
  <si>
    <t>Legal Fees</t>
  </si>
  <si>
    <t>Cell Phones: Full-Time Staff</t>
  </si>
  <si>
    <t>Riders</t>
  </si>
  <si>
    <t>Frosh Mail Out</t>
  </si>
  <si>
    <t>Marketing Managers</t>
  </si>
  <si>
    <t>Health Plan Honorarium</t>
  </si>
  <si>
    <t>Leasehold Improvements</t>
  </si>
  <si>
    <t>7 Bloomfield Renos</t>
  </si>
  <si>
    <t>Business Vision License</t>
  </si>
  <si>
    <t>Capital Expenditures</t>
  </si>
  <si>
    <t>Information Desk Clothing</t>
  </si>
  <si>
    <t>Fax Expenses</t>
  </si>
  <si>
    <t>Number of Students Projected 13/14</t>
  </si>
  <si>
    <t>Summer Intern</t>
  </si>
  <si>
    <t>Councillors(16)</t>
  </si>
  <si>
    <t>OC Community Fair</t>
  </si>
  <si>
    <t>May 2013</t>
  </si>
  <si>
    <t>Consolidated Budget 2013-2014</t>
  </si>
  <si>
    <t>Increase for 2013/14</t>
  </si>
  <si>
    <t>Budget 2013-2014</t>
  </si>
  <si>
    <t>StFX Students' Union Budget 2013-2014</t>
  </si>
  <si>
    <t>5  Ice Machine (2500)  Scrubber (2500)</t>
  </si>
  <si>
    <t>4 Legal Fees to Investigate Inn Hours</t>
  </si>
  <si>
    <t>6 GXI Patio, Lights for GXI, Strat Plan</t>
  </si>
  <si>
    <t>2 Paid Hourly $11.00</t>
  </si>
  <si>
    <t>1 Contribution from Athletics</t>
  </si>
  <si>
    <t>DriveU Senior $11.00/HR</t>
  </si>
  <si>
    <t>2 X Ring Tickets $23.00 Including HST</t>
  </si>
  <si>
    <t>1 900 Frosh Kits at $126.49 Including HST</t>
  </si>
  <si>
    <t>Total Finance Revenue</t>
  </si>
  <si>
    <t>Total Finance Expenses</t>
  </si>
  <si>
    <t>Revenues over Expenses</t>
  </si>
  <si>
    <t>Expenses over Revenues</t>
  </si>
  <si>
    <t>Revenues Over Expenses</t>
  </si>
  <si>
    <t>Expenses Over Revenues</t>
  </si>
  <si>
    <t>1 Health &amp; Wellness Focused</t>
  </si>
  <si>
    <t>1 15% Commission</t>
  </si>
  <si>
    <t>2 Business Vision Licence Renewal</t>
  </si>
  <si>
    <t xml:space="preserve">3 30% Commission </t>
  </si>
  <si>
    <t>1, 2</t>
  </si>
  <si>
    <t>DriveU Drivers $10.30/HR</t>
  </si>
  <si>
    <t>1 Bogey of $350 for $130,000 Sales, Cap of $1000 for $190,000 Sales</t>
  </si>
  <si>
    <t xml:space="preserve"> - Marketing Managers</t>
  </si>
  <si>
    <t xml:space="preserve"> - Councillors (16)</t>
  </si>
  <si>
    <t xml:space="preserve"> - Off Campus Leaders (2)</t>
  </si>
  <si>
    <t>Society Coordinator Operations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</si>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</sst>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&quot;$&quot;#,##0.00"/>
    <numFmt numFmtId="168" formatCode="_-&quot;$&quot;* #,##0_-;\-&quot;$&quot;* #,##0.00_-;_-&quot;$&quot;* &quot;-&quot;??_-;_-@_-"/>
    <numFmt numFmtId="169" formatCode="_(&quot;$&quot;* #,##0_);_(&quot;$&quot;* \(#,##0\);_(&quot;$&quot;* &quot;-&quot;??_);_(@_)"/>
    <numFmt numFmtId="170" formatCode="_-&quot;$&quot;* #,##0_-;\-&quot;$&quot;* #,##0_-;_-&quot;$&quot;* &quot;-&quot;??_-;_-@_-"/>
    <numFmt numFmtId="171" formatCode="&quot;$&quot;#,##0"/>
  </numFmts>
  <fonts count="24" x14ac:knownFonts="1">
    <font>
      <sz val="11"/>
      <color theme="1"/>
      <name val="Calibri"/>
      <family val="2"/>
      <scheme val="minor"/>
    </font>
    <font>
      <sz val="10"/>
      <name val="Helvetica LT Std"/>
      <family val="2"/>
    </font>
    <font>
      <b/>
      <sz val="10"/>
      <name val="Helvetica LT Std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Helvetica LT Std"/>
      <family val="2"/>
    </font>
    <font>
      <sz val="16"/>
      <name val="Helvetica LT Std"/>
      <family val="2"/>
    </font>
    <font>
      <b/>
      <u val="singleAccounting"/>
      <sz val="10"/>
      <name val="Helvetica LT Std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6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9">
    <xf numFmtId="0" fontId="0" fillId="0" borderId="0" xfId="0"/>
    <xf numFmtId="0" fontId="1" fillId="0" borderId="0" xfId="1" applyFont="1"/>
    <xf numFmtId="165" fontId="1" fillId="0" borderId="0" xfId="2" applyFont="1"/>
    <xf numFmtId="165" fontId="2" fillId="0" borderId="0" xfId="2" applyFont="1" applyAlignment="1"/>
    <xf numFmtId="0" fontId="2" fillId="0" borderId="0" xfId="1" applyFont="1"/>
    <xf numFmtId="165" fontId="1" fillId="0" borderId="0" xfId="2" applyFont="1" applyAlignment="1"/>
    <xf numFmtId="164" fontId="1" fillId="0" borderId="0" xfId="3" applyFont="1"/>
    <xf numFmtId="0" fontId="2" fillId="0" borderId="0" xfId="1" applyFont="1" applyAlignment="1">
      <alignment horizontal="right"/>
    </xf>
    <xf numFmtId="167" fontId="1" fillId="0" borderId="0" xfId="1" applyNumberFormat="1" applyFont="1"/>
    <xf numFmtId="0" fontId="1" fillId="0" borderId="0" xfId="1" applyFont="1" applyAlignment="1">
      <alignment horizontal="left"/>
    </xf>
    <xf numFmtId="166" fontId="1" fillId="0" borderId="0" xfId="2" applyNumberFormat="1" applyFont="1" applyAlignment="1">
      <alignment horizontal="right"/>
    </xf>
    <xf numFmtId="42" fontId="3" fillId="0" borderId="0" xfId="1" applyNumberFormat="1" applyFont="1"/>
    <xf numFmtId="0" fontId="3" fillId="0" borderId="0" xfId="3" applyNumberFormat="1" applyFont="1"/>
    <xf numFmtId="42" fontId="3" fillId="0" borderId="0" xfId="1" applyNumberFormat="1" applyFont="1" applyBorder="1"/>
    <xf numFmtId="42" fontId="4" fillId="0" borderId="0" xfId="1" applyNumberFormat="1" applyFont="1" applyBorder="1"/>
    <xf numFmtId="41" fontId="3" fillId="0" borderId="0" xfId="1" applyNumberFormat="1" applyFont="1"/>
    <xf numFmtId="41" fontId="4" fillId="0" borderId="1" xfId="1" applyNumberFormat="1" applyFont="1" applyBorder="1"/>
    <xf numFmtId="41" fontId="4" fillId="0" borderId="0" xfId="3" applyNumberFormat="1" applyFont="1" applyBorder="1"/>
    <xf numFmtId="42" fontId="4" fillId="0" borderId="0" xfId="1" applyNumberFormat="1" applyFont="1"/>
    <xf numFmtId="41" fontId="3" fillId="0" borderId="0" xfId="3" applyNumberFormat="1" applyFont="1"/>
    <xf numFmtId="41" fontId="3" fillId="0" borderId="0" xfId="1" applyNumberFormat="1" applyFont="1" applyBorder="1"/>
    <xf numFmtId="42" fontId="4" fillId="0" borderId="0" xfId="1" applyNumberFormat="1" applyFont="1" applyAlignment="1">
      <alignment horizontal="right"/>
    </xf>
    <xf numFmtId="41" fontId="4" fillId="0" borderId="2" xfId="3" applyNumberFormat="1" applyFont="1" applyBorder="1"/>
    <xf numFmtId="41" fontId="3" fillId="0" borderId="0" xfId="3" applyNumberFormat="1" applyFont="1" applyBorder="1"/>
    <xf numFmtId="42" fontId="4" fillId="0" borderId="0" xfId="1" applyNumberFormat="1" applyFont="1" applyAlignment="1">
      <alignment horizontal="left"/>
    </xf>
    <xf numFmtId="42" fontId="3" fillId="0" borderId="0" xfId="1" applyNumberFormat="1" applyFont="1" applyAlignment="1">
      <alignment horizontal="left"/>
    </xf>
    <xf numFmtId="41" fontId="3" fillId="0" borderId="0" xfId="3" applyNumberFormat="1" applyFont="1" applyFill="1"/>
    <xf numFmtId="0" fontId="3" fillId="0" borderId="0" xfId="3" applyNumberFormat="1" applyFont="1" applyAlignment="1">
      <alignment horizontal="right"/>
    </xf>
    <xf numFmtId="41" fontId="3" fillId="3" borderId="0" xfId="3" applyNumberFormat="1" applyFont="1" applyFill="1"/>
    <xf numFmtId="41" fontId="4" fillId="3" borderId="0" xfId="1" applyNumberFormat="1" applyFont="1" applyFill="1"/>
    <xf numFmtId="42" fontId="3" fillId="3" borderId="0" xfId="1" applyNumberFormat="1" applyFont="1" applyFill="1"/>
    <xf numFmtId="42" fontId="4" fillId="3" borderId="0" xfId="1" applyNumberFormat="1" applyFont="1" applyFill="1"/>
    <xf numFmtId="41" fontId="4" fillId="0" borderId="0" xfId="1" applyNumberFormat="1" applyFont="1"/>
    <xf numFmtId="41" fontId="3" fillId="0" borderId="0" xfId="1" applyNumberFormat="1" applyFont="1" applyBorder="1" applyAlignment="1">
      <alignment horizontal="right"/>
    </xf>
    <xf numFmtId="42" fontId="4" fillId="3" borderId="0" xfId="3" applyNumberFormat="1" applyFont="1" applyFill="1"/>
    <xf numFmtId="42" fontId="4" fillId="0" borderId="0" xfId="1" applyNumberFormat="1" applyFont="1" applyAlignment="1">
      <alignment horizontal="center"/>
    </xf>
    <xf numFmtId="0" fontId="4" fillId="0" borderId="0" xfId="3" applyNumberFormat="1" applyFont="1"/>
    <xf numFmtId="42" fontId="4" fillId="2" borderId="0" xfId="1" applyNumberFormat="1" applyFont="1" applyFill="1" applyAlignment="1">
      <alignment horizontal="center"/>
    </xf>
    <xf numFmtId="0" fontId="4" fillId="0" borderId="0" xfId="3" applyNumberFormat="1" applyFont="1" applyAlignment="1">
      <alignment horizontal="center"/>
    </xf>
    <xf numFmtId="0" fontId="3" fillId="0" borderId="0" xfId="1" applyFont="1"/>
    <xf numFmtId="0" fontId="3" fillId="0" borderId="0" xfId="1"/>
    <xf numFmtId="0" fontId="4" fillId="0" borderId="0" xfId="1" applyFont="1"/>
    <xf numFmtId="0" fontId="3" fillId="3" borderId="0" xfId="1" applyFont="1" applyFill="1"/>
    <xf numFmtId="0" fontId="4" fillId="3" borderId="0" xfId="1" applyFont="1" applyFill="1"/>
    <xf numFmtId="0" fontId="3" fillId="0" borderId="0" xfId="1" applyFont="1" applyBorder="1"/>
    <xf numFmtId="41" fontId="4" fillId="0" borderId="0" xfId="1" applyNumberFormat="1" applyFont="1" applyBorder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41" fontId="4" fillId="0" borderId="3" xfId="1" applyNumberFormat="1" applyFont="1" applyBorder="1"/>
    <xf numFmtId="41" fontId="3" fillId="0" borderId="0" xfId="1" applyNumberFormat="1" applyFont="1" applyFill="1"/>
    <xf numFmtId="0" fontId="3" fillId="0" borderId="0" xfId="1" applyFont="1" applyFill="1" applyAlignment="1">
      <alignment horizontal="left"/>
    </xf>
    <xf numFmtId="0" fontId="3" fillId="4" borderId="0" xfId="1" applyFont="1" applyFill="1"/>
    <xf numFmtId="41" fontId="3" fillId="4" borderId="0" xfId="1" applyNumberFormat="1" applyFont="1" applyFill="1"/>
    <xf numFmtId="41" fontId="3" fillId="0" borderId="0" xfId="1" applyNumberFormat="1" applyFont="1" applyAlignment="1">
      <alignment horizontal="center"/>
    </xf>
    <xf numFmtId="41" fontId="3" fillId="0" borderId="0" xfId="1" applyNumberFormat="1" applyFont="1" applyAlignment="1">
      <alignment horizontal="right"/>
    </xf>
    <xf numFmtId="2" fontId="3" fillId="0" borderId="0" xfId="1" applyNumberFormat="1" applyFont="1"/>
    <xf numFmtId="168" fontId="3" fillId="3" borderId="0" xfId="1" applyNumberFormat="1" applyFont="1" applyFill="1"/>
    <xf numFmtId="168" fontId="3" fillId="3" borderId="0" xfId="1" applyNumberFormat="1" applyFont="1" applyFill="1" applyAlignment="1">
      <alignment horizontal="right"/>
    </xf>
    <xf numFmtId="168" fontId="4" fillId="0" borderId="0" xfId="1" applyNumberFormat="1" applyFont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3" borderId="0" xfId="1" applyFont="1" applyFill="1" applyAlignment="1">
      <alignment horizontal="right"/>
    </xf>
    <xf numFmtId="49" fontId="3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 applyAlignment="1">
      <alignment horizontal="center"/>
    </xf>
    <xf numFmtId="0" fontId="4" fillId="2" borderId="0" xfId="1" applyFont="1" applyFill="1"/>
    <xf numFmtId="0" fontId="5" fillId="0" borderId="0" xfId="1" applyFont="1"/>
    <xf numFmtId="0" fontId="3" fillId="0" borderId="0" xfId="1" applyNumberFormat="1" applyFont="1" applyFill="1"/>
    <xf numFmtId="42" fontId="3" fillId="3" borderId="0" xfId="1" applyNumberFormat="1" applyFont="1" applyFill="1" applyBorder="1"/>
    <xf numFmtId="41" fontId="4" fillId="0" borderId="4" xfId="1" applyNumberFormat="1" applyFont="1" applyBorder="1"/>
    <xf numFmtId="42" fontId="4" fillId="0" borderId="0" xfId="3" applyNumberFormat="1" applyFont="1" applyBorder="1"/>
    <xf numFmtId="42" fontId="3" fillId="0" borderId="0" xfId="1" applyNumberFormat="1" applyFont="1" applyFill="1" applyBorder="1"/>
    <xf numFmtId="42" fontId="3" fillId="0" borderId="0" xfId="1" applyNumberFormat="1" applyFont="1" applyFill="1"/>
    <xf numFmtId="41" fontId="3" fillId="0" borderId="0" xfId="3" applyNumberFormat="1" applyFont="1" applyFill="1" applyBorder="1"/>
    <xf numFmtId="41" fontId="3" fillId="3" borderId="0" xfId="1" applyNumberFormat="1" applyFont="1" applyFill="1"/>
    <xf numFmtId="42" fontId="4" fillId="3" borderId="0" xfId="1" applyNumberFormat="1" applyFont="1" applyFill="1" applyBorder="1"/>
    <xf numFmtId="0" fontId="4" fillId="0" borderId="0" xfId="1" applyNumberFormat="1" applyFont="1" applyFill="1"/>
    <xf numFmtId="42" fontId="4" fillId="0" borderId="0" xfId="1" applyNumberFormat="1" applyFont="1" applyFill="1" applyBorder="1"/>
    <xf numFmtId="42" fontId="4" fillId="0" borderId="0" xfId="1" applyNumberFormat="1" applyFont="1" applyFill="1"/>
    <xf numFmtId="42" fontId="3" fillId="0" borderId="0" xfId="3" applyNumberFormat="1" applyFont="1" applyFill="1" applyBorder="1"/>
    <xf numFmtId="42" fontId="3" fillId="0" borderId="0" xfId="3" applyNumberFormat="1" applyFont="1" applyBorder="1"/>
    <xf numFmtId="41" fontId="3" fillId="0" borderId="0" xfId="3" applyNumberFormat="1" applyFont="1" applyFill="1" applyAlignment="1">
      <alignment horizontal="left"/>
    </xf>
    <xf numFmtId="41" fontId="3" fillId="0" borderId="0" xfId="3" applyNumberFormat="1" applyFont="1" applyFill="1" applyBorder="1" applyAlignment="1">
      <alignment horizontal="left"/>
    </xf>
    <xf numFmtId="42" fontId="3" fillId="0" borderId="0" xfId="1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left"/>
    </xf>
    <xf numFmtId="42" fontId="3" fillId="0" borderId="0" xfId="3" applyNumberFormat="1" applyFont="1" applyFill="1" applyBorder="1" applyAlignment="1">
      <alignment horizontal="left"/>
    </xf>
    <xf numFmtId="42" fontId="4" fillId="0" borderId="0" xfId="1" applyNumberFormat="1" applyFont="1" applyFill="1" applyAlignment="1">
      <alignment horizontal="left"/>
    </xf>
    <xf numFmtId="42" fontId="4" fillId="0" borderId="0" xfId="1" applyNumberFormat="1" applyFont="1" applyFill="1" applyBorder="1" applyAlignment="1">
      <alignment horizontal="left"/>
    </xf>
    <xf numFmtId="0" fontId="4" fillId="0" borderId="0" xfId="1" applyNumberFormat="1" applyFont="1" applyFill="1" applyAlignment="1">
      <alignment horizontal="left"/>
    </xf>
    <xf numFmtId="0" fontId="4" fillId="0" borderId="0" xfId="1" applyNumberFormat="1" applyFont="1" applyFill="1" applyAlignment="1">
      <alignment horizontal="right"/>
    </xf>
    <xf numFmtId="42" fontId="4" fillId="0" borderId="0" xfId="1" applyNumberFormat="1" applyFont="1" applyFill="1" applyAlignment="1"/>
    <xf numFmtId="0" fontId="4" fillId="0" borderId="0" xfId="1" applyNumberFormat="1" applyFont="1" applyFill="1" applyAlignment="1"/>
    <xf numFmtId="42" fontId="4" fillId="2" borderId="0" xfId="1" applyNumberFormat="1" applyFont="1" applyFill="1" applyAlignment="1"/>
    <xf numFmtId="0" fontId="3" fillId="0" borderId="0" xfId="1" applyNumberFormat="1" applyFont="1"/>
    <xf numFmtId="0" fontId="6" fillId="0" borderId="0" xfId="1" applyFont="1"/>
    <xf numFmtId="0" fontId="7" fillId="0" borderId="0" xfId="1" applyFont="1"/>
    <xf numFmtId="0" fontId="3" fillId="0" borderId="0" xfId="1" applyFont="1" applyAlignment="1"/>
    <xf numFmtId="0" fontId="3" fillId="0" borderId="0" xfId="1" applyNumberFormat="1" applyFont="1" applyAlignment="1"/>
    <xf numFmtId="0" fontId="7" fillId="0" borderId="0" xfId="1" applyFont="1" applyAlignment="1">
      <alignment horizontal="center" vertical="center"/>
    </xf>
    <xf numFmtId="0" fontId="3" fillId="3" borderId="0" xfId="1" applyNumberFormat="1" applyFont="1" applyFill="1"/>
    <xf numFmtId="0" fontId="8" fillId="0" borderId="0" xfId="1" applyFont="1"/>
    <xf numFmtId="169" fontId="4" fillId="0" borderId="0" xfId="1" applyNumberFormat="1" applyFont="1"/>
    <xf numFmtId="41" fontId="9" fillId="0" borderId="2" xfId="1" applyNumberFormat="1" applyFont="1" applyBorder="1"/>
    <xf numFmtId="41" fontId="4" fillId="0" borderId="2" xfId="1" applyNumberFormat="1" applyFont="1" applyBorder="1"/>
    <xf numFmtId="0" fontId="4" fillId="0" borderId="0" xfId="1" applyNumberFormat="1" applyFont="1"/>
    <xf numFmtId="41" fontId="9" fillId="0" borderId="2" xfId="1" applyNumberFormat="1" applyFont="1" applyFill="1" applyBorder="1"/>
    <xf numFmtId="0" fontId="4" fillId="3" borderId="0" xfId="1" applyNumberFormat="1" applyFont="1" applyFill="1"/>
    <xf numFmtId="41" fontId="3" fillId="0" borderId="3" xfId="1" applyNumberFormat="1" applyFont="1" applyBorder="1"/>
    <xf numFmtId="0" fontId="3" fillId="3" borderId="0" xfId="3" applyNumberFormat="1" applyFont="1" applyFill="1"/>
    <xf numFmtId="41" fontId="3" fillId="0" borderId="2" xfId="1" applyNumberFormat="1" applyFont="1" applyBorder="1"/>
    <xf numFmtId="0" fontId="3" fillId="0" borderId="0" xfId="3" applyNumberFormat="1" applyFont="1" applyFill="1"/>
    <xf numFmtId="0" fontId="3" fillId="0" borderId="0" xfId="1" applyNumberFormat="1" applyFont="1" applyAlignment="1">
      <alignment wrapText="1"/>
    </xf>
    <xf numFmtId="0" fontId="3" fillId="0" borderId="0" xfId="1" applyFont="1" applyAlignment="1">
      <alignment horizontal="center" vertical="center"/>
    </xf>
    <xf numFmtId="0" fontId="3" fillId="3" borderId="0" xfId="1" applyNumberFormat="1" applyFont="1" applyFill="1" applyBorder="1"/>
    <xf numFmtId="0" fontId="3" fillId="0" borderId="0" xfId="1" applyNumberFormat="1" applyFont="1" applyFill="1" applyBorder="1"/>
    <xf numFmtId="0" fontId="4" fillId="0" borderId="0" xfId="3" applyNumberFormat="1" applyFont="1" applyBorder="1"/>
    <xf numFmtId="0" fontId="4" fillId="0" borderId="0" xfId="3" applyNumberFormat="1" applyFont="1" applyFill="1" applyBorder="1"/>
    <xf numFmtId="0" fontId="10" fillId="0" borderId="0" xfId="1" applyFont="1"/>
    <xf numFmtId="0" fontId="10" fillId="0" borderId="0" xfId="1" applyNumberFormat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/>
    <xf numFmtId="0" fontId="10" fillId="0" borderId="0" xfId="1" applyFont="1" applyAlignment="1">
      <alignment vertical="center"/>
    </xf>
    <xf numFmtId="0" fontId="10" fillId="3" borderId="0" xfId="1" applyFont="1" applyFill="1"/>
    <xf numFmtId="0" fontId="10" fillId="3" borderId="0" xfId="1" applyNumberFormat="1" applyFont="1" applyFill="1"/>
    <xf numFmtId="0" fontId="9" fillId="3" borderId="0" xfId="1" applyFont="1" applyFill="1"/>
    <xf numFmtId="41" fontId="9" fillId="0" borderId="1" xfId="1" applyNumberFormat="1" applyFont="1" applyBorder="1"/>
    <xf numFmtId="41" fontId="10" fillId="0" borderId="0" xfId="1" applyNumberFormat="1" applyFont="1"/>
    <xf numFmtId="0" fontId="9" fillId="0" borderId="0" xfId="3" applyNumberFormat="1" applyFont="1"/>
    <xf numFmtId="0" fontId="9" fillId="0" borderId="0" xfId="1" applyFont="1"/>
    <xf numFmtId="41" fontId="9" fillId="0" borderId="3" xfId="1" applyNumberFormat="1" applyFont="1" applyBorder="1"/>
    <xf numFmtId="41" fontId="10" fillId="0" borderId="0" xfId="1" applyNumberFormat="1" applyFont="1" applyFill="1"/>
    <xf numFmtId="0" fontId="10" fillId="0" borderId="0" xfId="1" applyFont="1" applyAlignment="1">
      <alignment horizontal="left"/>
    </xf>
    <xf numFmtId="0" fontId="9" fillId="3" borderId="0" xfId="1" applyNumberFormat="1" applyFont="1" applyFill="1"/>
    <xf numFmtId="0" fontId="9" fillId="0" borderId="0" xfId="1" applyNumberFormat="1" applyFont="1"/>
    <xf numFmtId="0" fontId="9" fillId="2" borderId="0" xfId="1" applyFont="1" applyFill="1"/>
    <xf numFmtId="41" fontId="1" fillId="0" borderId="0" xfId="1" applyNumberFormat="1" applyFont="1"/>
    <xf numFmtId="0" fontId="1" fillId="0" borderId="0" xfId="1" applyFont="1" applyAlignment="1">
      <alignment wrapText="1"/>
    </xf>
    <xf numFmtId="41" fontId="1" fillId="0" borderId="0" xfId="1" applyNumberFormat="1" applyFont="1" applyAlignment="1"/>
    <xf numFmtId="0" fontId="1" fillId="0" borderId="0" xfId="1" applyFont="1" applyAlignment="1"/>
    <xf numFmtId="0" fontId="1" fillId="0" borderId="0" xfId="1" applyFont="1" applyAlignment="1">
      <alignment horizontal="center" vertical="center"/>
    </xf>
    <xf numFmtId="41" fontId="1" fillId="3" borderId="0" xfId="1" applyNumberFormat="1" applyFont="1" applyFill="1"/>
    <xf numFmtId="0" fontId="1" fillId="3" borderId="0" xfId="1" applyFont="1" applyFill="1"/>
    <xf numFmtId="0" fontId="2" fillId="3" borderId="0" xfId="1" applyFont="1" applyFill="1"/>
    <xf numFmtId="43" fontId="1" fillId="0" borderId="0" xfId="1" applyNumberFormat="1" applyFont="1"/>
    <xf numFmtId="41" fontId="1" fillId="0" borderId="0" xfId="1" applyNumberFormat="1" applyFont="1" applyBorder="1"/>
    <xf numFmtId="0" fontId="1" fillId="0" borderId="0" xfId="1" applyFont="1" applyBorder="1"/>
    <xf numFmtId="41" fontId="2" fillId="0" borderId="1" xfId="1" applyNumberFormat="1" applyFont="1" applyBorder="1"/>
    <xf numFmtId="170" fontId="2" fillId="0" borderId="0" xfId="3" applyNumberFormat="1" applyFont="1"/>
    <xf numFmtId="41" fontId="2" fillId="0" borderId="2" xfId="1" applyNumberFormat="1" applyFont="1" applyBorder="1"/>
    <xf numFmtId="41" fontId="2" fillId="0" borderId="2" xfId="3" applyNumberFormat="1" applyFont="1" applyBorder="1"/>
    <xf numFmtId="0" fontId="2" fillId="0" borderId="0" xfId="1" applyFont="1" applyBorder="1"/>
    <xf numFmtId="41" fontId="2" fillId="0" borderId="0" xfId="1" applyNumberFormat="1" applyFont="1"/>
    <xf numFmtId="41" fontId="2" fillId="0" borderId="0" xfId="3" applyNumberFormat="1" applyFont="1"/>
    <xf numFmtId="170" fontId="2" fillId="0" borderId="0" xfId="1" applyNumberFormat="1" applyFont="1"/>
    <xf numFmtId="170" fontId="1" fillId="0" borderId="0" xfId="1" applyNumberFormat="1" applyFont="1"/>
    <xf numFmtId="41" fontId="2" fillId="0" borderId="3" xfId="1" applyNumberFormat="1" applyFont="1" applyBorder="1"/>
    <xf numFmtId="0" fontId="2" fillId="0" borderId="0" xfId="3" applyNumberFormat="1" applyFont="1"/>
    <xf numFmtId="0" fontId="1" fillId="0" borderId="0" xfId="1" applyNumberFormat="1" applyFont="1"/>
    <xf numFmtId="41" fontId="1" fillId="0" borderId="0" xfId="1" applyNumberFormat="1" applyFont="1" applyFill="1"/>
    <xf numFmtId="170" fontId="1" fillId="0" borderId="0" xfId="3" applyNumberFormat="1" applyFont="1"/>
    <xf numFmtId="170" fontId="2" fillId="0" borderId="0" xfId="3" applyNumberFormat="1" applyFont="1" applyFill="1"/>
    <xf numFmtId="41" fontId="1" fillId="0" borderId="0" xfId="3" applyNumberFormat="1" applyFont="1" applyFill="1"/>
    <xf numFmtId="41" fontId="2" fillId="3" borderId="0" xfId="1" applyNumberFormat="1" applyFont="1" applyFill="1"/>
    <xf numFmtId="170" fontId="2" fillId="3" borderId="0" xfId="1" applyNumberFormat="1" applyFont="1" applyFill="1"/>
    <xf numFmtId="41" fontId="1" fillId="0" borderId="0" xfId="3" applyNumberFormat="1" applyFont="1" applyFill="1" applyBorder="1"/>
    <xf numFmtId="170" fontId="1" fillId="0" borderId="0" xfId="3" applyNumberFormat="1" applyFont="1" applyFill="1" applyBorder="1"/>
    <xf numFmtId="0" fontId="1" fillId="0" borderId="0" xfId="1" applyFont="1" applyFill="1"/>
    <xf numFmtId="41" fontId="1" fillId="0" borderId="2" xfId="3" applyNumberFormat="1" applyFont="1" applyFill="1" applyBorder="1"/>
    <xf numFmtId="41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2" borderId="0" xfId="1" applyFont="1" applyFill="1"/>
    <xf numFmtId="41" fontId="10" fillId="0" borderId="2" xfId="1" applyNumberFormat="1" applyFont="1" applyBorder="1"/>
    <xf numFmtId="42" fontId="10" fillId="0" borderId="0" xfId="1" applyNumberFormat="1" applyFont="1" applyBorder="1"/>
    <xf numFmtId="42" fontId="10" fillId="0" borderId="0" xfId="1" applyNumberFormat="1" applyFont="1"/>
    <xf numFmtId="0" fontId="10" fillId="0" borderId="0" xfId="1" applyNumberFormat="1" applyFont="1" applyFill="1"/>
    <xf numFmtId="41" fontId="10" fillId="3" borderId="0" xfId="1" applyNumberFormat="1" applyFont="1" applyFill="1"/>
    <xf numFmtId="42" fontId="10" fillId="3" borderId="0" xfId="1" applyNumberFormat="1" applyFont="1" applyFill="1" applyBorder="1"/>
    <xf numFmtId="42" fontId="9" fillId="3" borderId="0" xfId="1" applyNumberFormat="1" applyFont="1" applyFill="1"/>
    <xf numFmtId="0" fontId="9" fillId="0" borderId="0" xfId="1" applyNumberFormat="1" applyFont="1" applyFill="1"/>
    <xf numFmtId="0" fontId="10" fillId="0" borderId="0" xfId="1" applyFont="1" applyFill="1"/>
    <xf numFmtId="0" fontId="9" fillId="0" borderId="0" xfId="1" applyFont="1" applyFill="1"/>
    <xf numFmtId="0" fontId="3" fillId="0" borderId="0" xfId="1" applyAlignment="1"/>
    <xf numFmtId="171" fontId="1" fillId="0" borderId="0" xfId="1" applyNumberFormat="1" applyFont="1"/>
    <xf numFmtId="0" fontId="2" fillId="0" borderId="0" xfId="1" applyNumberFormat="1" applyFont="1"/>
    <xf numFmtId="168" fontId="1" fillId="3" borderId="0" xfId="3" applyNumberFormat="1" applyFont="1" applyFill="1"/>
    <xf numFmtId="171" fontId="1" fillId="3" borderId="0" xfId="1" applyNumberFormat="1" applyFont="1" applyFill="1"/>
    <xf numFmtId="0" fontId="2" fillId="0" borderId="0" xfId="1" applyFont="1" applyFill="1"/>
    <xf numFmtId="41" fontId="3" fillId="0" borderId="0" xfId="1" applyNumberFormat="1"/>
    <xf numFmtId="0" fontId="3" fillId="0" borderId="0" xfId="1" applyNumberFormat="1"/>
    <xf numFmtId="41" fontId="4" fillId="0" borderId="0" xfId="4" applyNumberFormat="1" applyFont="1" applyFill="1"/>
    <xf numFmtId="41" fontId="3" fillId="5" borderId="0" xfId="1" applyNumberFormat="1" applyFill="1"/>
    <xf numFmtId="0" fontId="3" fillId="5" borderId="0" xfId="1" applyNumberFormat="1" applyFill="1"/>
    <xf numFmtId="0" fontId="3" fillId="0" borderId="0" xfId="1" applyAlignment="1">
      <alignment horizontal="center"/>
    </xf>
    <xf numFmtId="44" fontId="2" fillId="0" borderId="0" xfId="1" applyNumberFormat="1" applyFont="1"/>
    <xf numFmtId="41" fontId="9" fillId="0" borderId="0" xfId="1" applyNumberFormat="1" applyFont="1" applyBorder="1"/>
    <xf numFmtId="0" fontId="11" fillId="0" borderId="0" xfId="1" applyNumberFormat="1" applyFont="1"/>
    <xf numFmtId="41" fontId="1" fillId="0" borderId="2" xfId="4" applyNumberFormat="1" applyFont="1" applyBorder="1"/>
    <xf numFmtId="0" fontId="1" fillId="0" borderId="0" xfId="3" applyNumberFormat="1" applyFont="1"/>
    <xf numFmtId="44" fontId="1" fillId="0" borderId="0" xfId="1" applyNumberFormat="1" applyFont="1"/>
    <xf numFmtId="41" fontId="1" fillId="0" borderId="0" xfId="4" applyNumberFormat="1" applyFont="1"/>
    <xf numFmtId="41" fontId="10" fillId="0" borderId="0" xfId="4" applyNumberFormat="1" applyFont="1" applyFill="1"/>
    <xf numFmtId="0" fontId="11" fillId="0" borderId="0" xfId="3" applyNumberFormat="1" applyFont="1"/>
    <xf numFmtId="41" fontId="2" fillId="5" borderId="0" xfId="1" applyNumberFormat="1" applyFont="1" applyFill="1" applyAlignment="1"/>
    <xf numFmtId="0" fontId="2" fillId="5" borderId="0" xfId="1" applyNumberFormat="1" applyFont="1" applyFill="1" applyAlignment="1"/>
    <xf numFmtId="44" fontId="2" fillId="5" borderId="0" xfId="1" applyNumberFormat="1" applyFont="1" applyFill="1" applyAlignment="1"/>
    <xf numFmtId="0" fontId="2" fillId="0" borderId="0" xfId="3" applyNumberFormat="1" applyFont="1" applyBorder="1"/>
    <xf numFmtId="0" fontId="1" fillId="0" borderId="0" xfId="3" applyNumberFormat="1" applyFont="1" applyBorder="1"/>
    <xf numFmtId="0" fontId="2" fillId="0" borderId="0" xfId="1" applyNumberFormat="1" applyFont="1" applyAlignment="1">
      <alignment horizontal="center"/>
    </xf>
    <xf numFmtId="41" fontId="1" fillId="5" borderId="0" xfId="1" applyNumberFormat="1" applyFont="1" applyFill="1"/>
    <xf numFmtId="41" fontId="2" fillId="5" borderId="0" xfId="1" applyNumberFormat="1" applyFont="1" applyFill="1"/>
    <xf numFmtId="0" fontId="12" fillId="2" borderId="0" xfId="1" applyFont="1" applyFill="1"/>
    <xf numFmtId="41" fontId="13" fillId="0" borderId="0" xfId="1" applyNumberFormat="1" applyFont="1" applyFill="1"/>
    <xf numFmtId="41" fontId="1" fillId="0" borderId="2" xfId="1" applyNumberFormat="1" applyFont="1" applyBorder="1"/>
    <xf numFmtId="0" fontId="1" fillId="2" borderId="0" xfId="1" applyFont="1" applyFill="1"/>
    <xf numFmtId="0" fontId="2" fillId="0" borderId="0" xfId="1" applyFont="1" applyFill="1" applyAlignment="1">
      <alignment horizontal="center"/>
    </xf>
    <xf numFmtId="0" fontId="4" fillId="0" borderId="0" xfId="1" applyFont="1" applyBorder="1"/>
    <xf numFmtId="0" fontId="4" fillId="6" borderId="0" xfId="1" applyFont="1" applyFill="1"/>
    <xf numFmtId="42" fontId="4" fillId="0" borderId="0" xfId="4" applyNumberFormat="1" applyFont="1" applyBorder="1"/>
    <xf numFmtId="41" fontId="3" fillId="7" borderId="0" xfId="1" applyNumberFormat="1" applyFont="1" applyFill="1"/>
    <xf numFmtId="42" fontId="3" fillId="7" borderId="0" xfId="1" applyNumberFormat="1" applyFont="1" applyFill="1"/>
    <xf numFmtId="0" fontId="14" fillId="7" borderId="0" xfId="1" applyFont="1" applyFill="1"/>
    <xf numFmtId="0" fontId="3" fillId="7" borderId="0" xfId="1" applyFont="1" applyFill="1"/>
    <xf numFmtId="0" fontId="14" fillId="0" borderId="0" xfId="1" applyFont="1" applyAlignment="1">
      <alignment horizontal="center"/>
    </xf>
    <xf numFmtId="0" fontId="15" fillId="0" borderId="0" xfId="1" applyFont="1"/>
    <xf numFmtId="0" fontId="14" fillId="8" borderId="0" xfId="1" applyFont="1" applyFill="1" applyAlignment="1"/>
    <xf numFmtId="0" fontId="5" fillId="0" borderId="0" xfId="1" applyFont="1" applyFill="1" applyAlignment="1"/>
    <xf numFmtId="0" fontId="3" fillId="6" borderId="0" xfId="1" applyFont="1" applyFill="1"/>
    <xf numFmtId="42" fontId="4" fillId="0" borderId="0" xfId="5" applyNumberFormat="1" applyFont="1" applyBorder="1"/>
    <xf numFmtId="41" fontId="3" fillId="6" borderId="0" xfId="1" applyNumberFormat="1" applyFont="1" applyFill="1"/>
    <xf numFmtId="42" fontId="16" fillId="6" borderId="0" xfId="1" applyNumberFormat="1" applyFont="1" applyFill="1"/>
    <xf numFmtId="0" fontId="16" fillId="6" borderId="0" xfId="1" applyFont="1" applyFill="1"/>
    <xf numFmtId="42" fontId="16" fillId="0" borderId="0" xfId="1" applyNumberFormat="1" applyFont="1"/>
    <xf numFmtId="171" fontId="3" fillId="6" borderId="0" xfId="1" applyNumberFormat="1" applyFont="1" applyFill="1"/>
    <xf numFmtId="0" fontId="17" fillId="8" borderId="0" xfId="1" applyFont="1" applyFill="1"/>
    <xf numFmtId="0" fontId="16" fillId="0" borderId="0" xfId="1" applyFont="1" applyAlignment="1">
      <alignment horizontal="left"/>
    </xf>
    <xf numFmtId="0" fontId="18" fillId="0" borderId="0" xfId="1" applyFont="1"/>
    <xf numFmtId="0" fontId="4" fillId="7" borderId="0" xfId="1" applyFont="1" applyFill="1"/>
    <xf numFmtId="0" fontId="16" fillId="7" borderId="0" xfId="1" applyFont="1" applyFill="1"/>
    <xf numFmtId="0" fontId="5" fillId="8" borderId="0" xfId="1" applyFont="1" applyFill="1"/>
    <xf numFmtId="42" fontId="9" fillId="0" borderId="0" xfId="1" applyNumberFormat="1" applyFont="1" applyAlignment="1">
      <alignment horizontal="left"/>
    </xf>
    <xf numFmtId="42" fontId="9" fillId="0" borderId="0" xfId="1" applyNumberFormat="1" applyFont="1"/>
    <xf numFmtId="3" fontId="3" fillId="0" borderId="0" xfId="1" applyNumberFormat="1" applyFont="1"/>
    <xf numFmtId="3" fontId="3" fillId="0" borderId="2" xfId="3" applyNumberFormat="1" applyFont="1" applyBorder="1"/>
    <xf numFmtId="37" fontId="3" fillId="0" borderId="0" xfId="1" applyNumberFormat="1" applyFont="1"/>
    <xf numFmtId="37" fontId="3" fillId="0" borderId="2" xfId="1" applyNumberFormat="1" applyFont="1" applyBorder="1"/>
    <xf numFmtId="42" fontId="4" fillId="0" borderId="0" xfId="1" applyNumberFormat="1" applyFont="1" applyAlignment="1">
      <alignment horizontal="center"/>
    </xf>
    <xf numFmtId="0" fontId="3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3" fontId="3" fillId="0" borderId="0" xfId="1" applyNumberFormat="1" applyFont="1"/>
    <xf numFmtId="44" fontId="3" fillId="0" borderId="0" xfId="1" applyNumberFormat="1" applyFont="1"/>
    <xf numFmtId="43" fontId="4" fillId="0" borderId="0" xfId="1" applyNumberFormat="1" applyFont="1" applyBorder="1"/>
    <xf numFmtId="41" fontId="3" fillId="0" borderId="3" xfId="1" applyNumberFormat="1" applyFont="1" applyFill="1" applyBorder="1"/>
    <xf numFmtId="0" fontId="3" fillId="0" borderId="0" xfId="1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41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" fillId="2" borderId="0" xfId="1" applyFont="1" applyFill="1" applyAlignment="1">
      <alignment horizontal="center"/>
    </xf>
    <xf numFmtId="42" fontId="4" fillId="0" borderId="0" xfId="1" applyNumberFormat="1" applyFont="1" applyAlignment="1">
      <alignment horizontal="center"/>
    </xf>
    <xf numFmtId="0" fontId="2" fillId="5" borderId="0" xfId="1" applyFont="1" applyFill="1" applyAlignment="1">
      <alignment horizontal="left"/>
    </xf>
  </cellXfs>
  <cellStyles count="16">
    <cellStyle name="Comma 2" xfId="2"/>
    <cellStyle name="Currency 2" xfId="3"/>
    <cellStyle name="Currency 3" xfId="5"/>
    <cellStyle name="Currency_Sheet1" xf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16</xdr:row>
      <xdr:rowOff>114299</xdr:rowOff>
    </xdr:from>
    <xdr:to>
      <xdr:col>6</xdr:col>
      <xdr:colOff>590550</xdr:colOff>
      <xdr:row>28</xdr:row>
      <xdr:rowOff>190499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3162299"/>
          <a:ext cx="2362200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43"/>
  <sheetViews>
    <sheetView topLeftCell="A7" workbookViewId="0">
      <selection activeCell="C11" sqref="C11"/>
    </sheetView>
  </sheetViews>
  <sheetFormatPr baseColWidth="10" defaultColWidth="8.83203125" defaultRowHeight="14" x14ac:dyDescent="0"/>
  <sheetData>
    <row r="6" spans="2:9" ht="15" customHeight="1">
      <c r="B6" s="264" t="s">
        <v>323</v>
      </c>
      <c r="C6" s="264"/>
      <c r="D6" s="264"/>
      <c r="E6" s="264"/>
      <c r="F6" s="264"/>
      <c r="G6" s="264"/>
      <c r="H6" s="264"/>
      <c r="I6" s="264"/>
    </row>
    <row r="7" spans="2:9" ht="15" customHeight="1">
      <c r="B7" s="264"/>
      <c r="C7" s="264"/>
      <c r="D7" s="264"/>
      <c r="E7" s="264"/>
      <c r="F7" s="264"/>
      <c r="G7" s="264"/>
      <c r="H7" s="264"/>
      <c r="I7" s="264"/>
    </row>
    <row r="8" spans="2:9" ht="15" customHeight="1">
      <c r="B8" s="264"/>
      <c r="C8" s="264"/>
      <c r="D8" s="264"/>
      <c r="E8" s="264"/>
      <c r="F8" s="264"/>
      <c r="G8" s="264"/>
      <c r="H8" s="264"/>
      <c r="I8" s="264"/>
    </row>
    <row r="9" spans="2:9" ht="15" customHeight="1">
      <c r="B9" s="264"/>
      <c r="C9" s="264"/>
      <c r="D9" s="264"/>
      <c r="E9" s="264"/>
      <c r="F9" s="264"/>
      <c r="G9" s="264"/>
      <c r="H9" s="264"/>
      <c r="I9" s="264"/>
    </row>
    <row r="36" spans="2:9">
      <c r="B36" s="263" t="s">
        <v>303</v>
      </c>
      <c r="C36" s="263"/>
      <c r="D36" s="263"/>
      <c r="E36" s="263"/>
      <c r="F36" s="263"/>
      <c r="G36" s="263"/>
      <c r="H36" s="263"/>
      <c r="I36" s="263"/>
    </row>
    <row r="37" spans="2:9">
      <c r="B37" s="263"/>
      <c r="C37" s="263"/>
      <c r="D37" s="263"/>
      <c r="E37" s="263"/>
      <c r="F37" s="263"/>
      <c r="G37" s="263"/>
      <c r="H37" s="263"/>
      <c r="I37" s="263"/>
    </row>
    <row r="38" spans="2:9">
      <c r="B38" s="263"/>
      <c r="C38" s="263"/>
      <c r="D38" s="263"/>
      <c r="E38" s="263"/>
      <c r="F38" s="263"/>
      <c r="G38" s="263"/>
      <c r="H38" s="263"/>
      <c r="I38" s="263"/>
    </row>
    <row r="39" spans="2:9">
      <c r="B39" s="263"/>
      <c r="C39" s="263"/>
      <c r="D39" s="263"/>
      <c r="E39" s="263"/>
      <c r="F39" s="263"/>
      <c r="G39" s="263"/>
      <c r="H39" s="263"/>
      <c r="I39" s="263"/>
    </row>
    <row r="41" spans="2:9">
      <c r="D41" s="265" t="s">
        <v>322</v>
      </c>
      <c r="E41" s="265"/>
      <c r="F41" s="265"/>
      <c r="G41" s="265"/>
    </row>
    <row r="42" spans="2:9">
      <c r="D42" s="265"/>
      <c r="E42" s="265"/>
      <c r="F42" s="265"/>
      <c r="G42" s="265"/>
    </row>
    <row r="43" spans="2:9">
      <c r="D43" s="265"/>
      <c r="E43" s="265"/>
      <c r="F43" s="265"/>
      <c r="G43" s="265"/>
    </row>
  </sheetData>
  <mergeCells count="3">
    <mergeCell ref="B36:I39"/>
    <mergeCell ref="B6:I9"/>
    <mergeCell ref="D41:G43"/>
  </mergeCells>
  <pageMargins left="0.7" right="0.7" top="0.75" bottom="0.75" header="0.3" footer="0.3"/>
  <pageSetup paperSize="166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3"/>
  <sheetViews>
    <sheetView workbookViewId="0">
      <selection activeCell="F1" sqref="F1:F2"/>
    </sheetView>
  </sheetViews>
  <sheetFormatPr baseColWidth="10" defaultColWidth="8.83203125" defaultRowHeight="13" x14ac:dyDescent="0"/>
  <cols>
    <col min="1" max="1" width="5.5" style="1" bestFit="1" customWidth="1"/>
    <col min="2" max="2" width="28.5" style="1" customWidth="1"/>
    <col min="3" max="3" width="6.5" style="1" bestFit="1" customWidth="1"/>
    <col min="4" max="4" width="15.6640625" style="140" customWidth="1"/>
    <col min="5" max="16384" width="8.83203125" style="1"/>
  </cols>
  <sheetData>
    <row r="1" spans="1:6">
      <c r="D1" s="261" t="s">
        <v>31</v>
      </c>
      <c r="F1" s="260" t="s">
        <v>31</v>
      </c>
    </row>
    <row r="2" spans="1:6">
      <c r="A2" s="4"/>
      <c r="B2" s="175" t="s">
        <v>17</v>
      </c>
      <c r="C2" s="4"/>
      <c r="D2" s="261" t="s">
        <v>305</v>
      </c>
      <c r="F2" s="260" t="s">
        <v>352</v>
      </c>
    </row>
    <row r="3" spans="1:6" ht="13.5" customHeight="1">
      <c r="B3" s="4"/>
      <c r="C3" s="4" t="s">
        <v>29</v>
      </c>
    </row>
    <row r="4" spans="1:6">
      <c r="B4" s="147" t="s">
        <v>28</v>
      </c>
      <c r="C4" s="147"/>
      <c r="D4" s="147"/>
      <c r="E4" s="147"/>
      <c r="F4" s="147"/>
    </row>
    <row r="5" spans="1:6">
      <c r="A5" s="4">
        <v>7100</v>
      </c>
      <c r="B5" s="171" t="s">
        <v>186</v>
      </c>
      <c r="D5" s="169">
        <v>0</v>
      </c>
    </row>
    <row r="6" spans="1:6">
      <c r="A6" s="4"/>
      <c r="B6" s="171" t="s">
        <v>192</v>
      </c>
      <c r="D6" s="172">
        <v>0</v>
      </c>
    </row>
    <row r="7" spans="1:6">
      <c r="A7" s="4"/>
      <c r="B7" s="171"/>
      <c r="C7" s="170"/>
    </row>
    <row r="8" spans="1:6" ht="13.5" customHeight="1">
      <c r="B8" s="147" t="s">
        <v>25</v>
      </c>
      <c r="C8" s="168"/>
      <c r="D8" s="167"/>
      <c r="E8" s="167"/>
      <c r="F8" s="167"/>
    </row>
    <row r="9" spans="1:6">
      <c r="A9" s="4">
        <v>7000</v>
      </c>
      <c r="B9" s="4" t="s">
        <v>23</v>
      </c>
      <c r="C9" s="159"/>
    </row>
    <row r="10" spans="1:6">
      <c r="B10" s="1" t="s">
        <v>191</v>
      </c>
      <c r="C10" s="164"/>
      <c r="D10" s="140">
        <f>8250*1.03</f>
        <v>8497.5</v>
      </c>
    </row>
    <row r="11" spans="1:6">
      <c r="B11" s="1" t="s">
        <v>115</v>
      </c>
      <c r="C11" s="164"/>
      <c r="D11" s="140">
        <v>1000</v>
      </c>
    </row>
    <row r="12" spans="1:6">
      <c r="B12" s="1" t="s">
        <v>190</v>
      </c>
      <c r="C12" s="164"/>
      <c r="D12" s="140">
        <f>5600*1.03</f>
        <v>5768</v>
      </c>
    </row>
    <row r="13" spans="1:6">
      <c r="B13" s="1" t="s">
        <v>189</v>
      </c>
      <c r="C13" s="164"/>
      <c r="D13" s="140">
        <f>1500*1.03</f>
        <v>1545</v>
      </c>
    </row>
    <row r="14" spans="1:6">
      <c r="B14" s="1" t="s">
        <v>188</v>
      </c>
      <c r="C14" s="164"/>
    </row>
    <row r="15" spans="1:6">
      <c r="B15" s="4" t="s">
        <v>117</v>
      </c>
      <c r="C15" s="165"/>
      <c r="D15" s="160">
        <f>SUM(D10:D14)</f>
        <v>16810.5</v>
      </c>
    </row>
    <row r="16" spans="1:6">
      <c r="C16" s="164"/>
    </row>
    <row r="17" spans="1:6">
      <c r="A17" s="4">
        <v>7100</v>
      </c>
      <c r="B17" s="4" t="s">
        <v>187</v>
      </c>
      <c r="C17" s="162"/>
    </row>
    <row r="18" spans="1:6">
      <c r="B18" s="1" t="s">
        <v>186</v>
      </c>
      <c r="C18" s="162"/>
      <c r="D18" s="140">
        <v>2000</v>
      </c>
    </row>
    <row r="19" spans="1:6" ht="13.5" customHeight="1">
      <c r="B19" s="1" t="s">
        <v>63</v>
      </c>
      <c r="C19" s="162"/>
      <c r="D19" s="140">
        <v>3000</v>
      </c>
    </row>
    <row r="20" spans="1:6" ht="11.25" customHeight="1">
      <c r="B20" s="1" t="s">
        <v>321</v>
      </c>
      <c r="C20" s="162">
        <v>1</v>
      </c>
      <c r="D20" s="140">
        <v>500</v>
      </c>
    </row>
    <row r="21" spans="1:6">
      <c r="B21" s="1" t="s">
        <v>185</v>
      </c>
      <c r="C21" s="162"/>
      <c r="D21" s="140">
        <f>1000*1.03</f>
        <v>1030</v>
      </c>
    </row>
    <row r="22" spans="1:6">
      <c r="B22" s="4" t="s">
        <v>184</v>
      </c>
      <c r="C22" s="161"/>
      <c r="D22" s="160">
        <f>SUM(D18:D21)</f>
        <v>6530</v>
      </c>
    </row>
    <row r="23" spans="1:6">
      <c r="C23" s="159"/>
    </row>
    <row r="24" spans="1:6">
      <c r="A24" s="4">
        <v>7200</v>
      </c>
      <c r="B24" s="4" t="s">
        <v>183</v>
      </c>
      <c r="C24" s="159"/>
    </row>
    <row r="25" spans="1:6">
      <c r="B25" s="1" t="s">
        <v>148</v>
      </c>
      <c r="C25" s="158"/>
      <c r="D25" s="153">
        <v>5000</v>
      </c>
    </row>
    <row r="26" spans="1:6">
      <c r="C26" s="159"/>
    </row>
    <row r="27" spans="1:6">
      <c r="B27" s="155" t="s">
        <v>182</v>
      </c>
      <c r="C27" s="158"/>
      <c r="D27" s="156">
        <f t="shared" ref="D27" si="0">SUM(D5:D6)</f>
        <v>0</v>
      </c>
    </row>
    <row r="28" spans="1:6">
      <c r="B28" s="155" t="s">
        <v>181</v>
      </c>
      <c r="C28" s="152"/>
      <c r="D28" s="153">
        <f t="shared" ref="D28" si="1">D5+(D15+D22+D25)</f>
        <v>28340.5</v>
      </c>
    </row>
    <row r="29" spans="1:6" ht="14" thickBot="1">
      <c r="B29" s="4" t="s">
        <v>340</v>
      </c>
      <c r="C29" s="152"/>
      <c r="D29" s="151">
        <f t="shared" ref="D29" si="2">D27-D28</f>
        <v>-28340.5</v>
      </c>
    </row>
    <row r="30" spans="1:6" ht="14" thickTop="1">
      <c r="C30" s="150"/>
    </row>
    <row r="31" spans="1:6">
      <c r="B31" s="147" t="s">
        <v>29</v>
      </c>
      <c r="C31" s="146"/>
      <c r="D31" s="145"/>
      <c r="E31" s="145"/>
      <c r="F31" s="145"/>
    </row>
    <row r="32" spans="1:6">
      <c r="B32" s="144">
        <v>1</v>
      </c>
      <c r="C32" s="143" t="s">
        <v>180</v>
      </c>
      <c r="D32" s="142"/>
    </row>
    <row r="33" spans="3:3">
      <c r="C33" s="141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1" sqref="F1:F2"/>
    </sheetView>
  </sheetViews>
  <sheetFormatPr baseColWidth="10" defaultColWidth="15.5" defaultRowHeight="12" x14ac:dyDescent="0"/>
  <cols>
    <col min="1" max="1" width="5" style="120" bestFit="1" customWidth="1"/>
    <col min="2" max="2" width="25.1640625" style="120" bestFit="1" customWidth="1"/>
    <col min="3" max="3" width="8.33203125" style="120" customWidth="1"/>
    <col min="4" max="4" width="16.1640625" style="120" customWidth="1"/>
    <col min="5" max="5" width="4.83203125" style="120" customWidth="1"/>
    <col min="6" max="16384" width="15.5" style="120"/>
  </cols>
  <sheetData>
    <row r="1" spans="1:6">
      <c r="A1" s="185"/>
      <c r="B1" s="184"/>
      <c r="C1" s="121"/>
      <c r="D1" s="67" t="s">
        <v>31</v>
      </c>
      <c r="F1" s="260" t="s">
        <v>31</v>
      </c>
    </row>
    <row r="2" spans="1:6">
      <c r="A2" s="185"/>
      <c r="B2" s="139" t="s">
        <v>16</v>
      </c>
      <c r="C2" s="121"/>
      <c r="D2" s="67" t="s">
        <v>305</v>
      </c>
      <c r="F2" s="260" t="s">
        <v>352</v>
      </c>
    </row>
    <row r="3" spans="1:6">
      <c r="A3" s="185"/>
      <c r="B3" s="185"/>
      <c r="C3" s="179"/>
      <c r="D3" s="184"/>
    </row>
    <row r="4" spans="1:6">
      <c r="A4" s="185"/>
      <c r="C4" s="138" t="s">
        <v>29</v>
      </c>
    </row>
    <row r="5" spans="1:6">
      <c r="A5" s="185">
        <v>8000</v>
      </c>
      <c r="B5" s="129" t="s">
        <v>23</v>
      </c>
      <c r="C5" s="137"/>
      <c r="D5" s="129"/>
      <c r="E5" s="129"/>
      <c r="F5" s="129"/>
    </row>
    <row r="6" spans="1:6">
      <c r="A6" s="185"/>
      <c r="B6" s="185"/>
      <c r="C6" s="183"/>
      <c r="D6" s="185"/>
    </row>
    <row r="7" spans="1:6">
      <c r="B7" s="120" t="s">
        <v>199</v>
      </c>
      <c r="D7" s="131">
        <v>4000</v>
      </c>
    </row>
    <row r="8" spans="1:6">
      <c r="A8" s="185"/>
      <c r="B8" s="184" t="s">
        <v>198</v>
      </c>
      <c r="C8" s="183"/>
      <c r="D8" s="184">
        <f>750*1.03</f>
        <v>772.5</v>
      </c>
    </row>
    <row r="9" spans="1:6">
      <c r="A9" s="133"/>
      <c r="B9" s="120" t="s">
        <v>197</v>
      </c>
      <c r="C9" s="131"/>
      <c r="D9" s="135">
        <f>800*1.03</f>
        <v>824</v>
      </c>
    </row>
    <row r="10" spans="1:6">
      <c r="A10" s="133"/>
      <c r="B10" s="120" t="s">
        <v>196</v>
      </c>
      <c r="C10" s="131">
        <v>1</v>
      </c>
      <c r="D10" s="135">
        <v>1000</v>
      </c>
    </row>
    <row r="11" spans="1:6">
      <c r="A11" s="133"/>
      <c r="B11" s="39" t="s">
        <v>314</v>
      </c>
      <c r="C11" s="131">
        <v>2</v>
      </c>
      <c r="D11" s="135">
        <v>4200</v>
      </c>
    </row>
    <row r="12" spans="1:6">
      <c r="A12" s="133"/>
      <c r="B12" s="39"/>
      <c r="C12" s="131"/>
      <c r="D12" s="257">
        <f>SUM(D7:D11)</f>
        <v>10796.5</v>
      </c>
    </row>
    <row r="14" spans="1:6">
      <c r="B14" s="133"/>
      <c r="D14" s="199"/>
    </row>
    <row r="15" spans="1:6" s="39" customFormat="1">
      <c r="A15" s="66">
        <v>3500</v>
      </c>
      <c r="B15" s="43" t="s">
        <v>133</v>
      </c>
      <c r="C15" s="111"/>
      <c r="D15" s="77"/>
      <c r="E15" s="77"/>
      <c r="F15" s="77"/>
    </row>
    <row r="16" spans="1:6" s="39" customFormat="1">
      <c r="A16" s="66"/>
      <c r="B16" s="41" t="s">
        <v>28</v>
      </c>
      <c r="C16" s="12"/>
      <c r="D16" s="112">
        <v>5500</v>
      </c>
    </row>
    <row r="17" spans="1:6" s="39" customFormat="1">
      <c r="A17" s="66"/>
      <c r="B17" s="41"/>
      <c r="C17" s="12"/>
      <c r="D17" s="15"/>
    </row>
    <row r="18" spans="1:6" s="39" customFormat="1">
      <c r="A18" s="66"/>
      <c r="B18" s="41" t="s">
        <v>25</v>
      </c>
      <c r="C18" s="12"/>
      <c r="D18" s="15"/>
    </row>
    <row r="19" spans="1:6" s="39" customFormat="1">
      <c r="A19" s="66"/>
      <c r="B19" s="39" t="s">
        <v>132</v>
      </c>
      <c r="C19" s="12">
        <v>3</v>
      </c>
      <c r="D19" s="15">
        <v>2000</v>
      </c>
    </row>
    <row r="20" spans="1:6" s="39" customFormat="1">
      <c r="A20" s="66"/>
      <c r="B20" s="39" t="s">
        <v>131</v>
      </c>
      <c r="C20" s="12"/>
      <c r="D20" s="15">
        <v>2800</v>
      </c>
    </row>
    <row r="21" spans="1:6" s="39" customFormat="1">
      <c r="A21" s="66"/>
      <c r="B21" s="41" t="s">
        <v>337</v>
      </c>
      <c r="C21" s="12"/>
      <c r="D21" s="48">
        <f>D16-D19-D20</f>
        <v>700</v>
      </c>
    </row>
    <row r="22" spans="1:6" s="39" customFormat="1">
      <c r="A22" s="66"/>
      <c r="B22" s="41"/>
      <c r="C22" s="12"/>
      <c r="D22" s="256"/>
    </row>
    <row r="23" spans="1:6" s="39" customFormat="1">
      <c r="A23" s="66"/>
      <c r="B23" s="41" t="s">
        <v>335</v>
      </c>
      <c r="C23" s="12"/>
      <c r="D23" s="45">
        <f>D16</f>
        <v>5500</v>
      </c>
    </row>
    <row r="24" spans="1:6" s="39" customFormat="1">
      <c r="A24" s="66"/>
      <c r="B24" s="41" t="s">
        <v>336</v>
      </c>
      <c r="C24" s="12"/>
      <c r="D24" s="45">
        <f t="shared" ref="D24" si="0">D19+D20+D12</f>
        <v>15596.5</v>
      </c>
    </row>
    <row r="25" spans="1:6" s="39" customFormat="1" ht="13" thickBot="1">
      <c r="A25" s="66"/>
      <c r="B25" s="41" t="s">
        <v>338</v>
      </c>
      <c r="C25" s="12"/>
      <c r="D25" s="72">
        <f>D23-D24</f>
        <v>-10096.5</v>
      </c>
    </row>
    <row r="26" spans="1:6" ht="13" thickTop="1"/>
    <row r="27" spans="1:6">
      <c r="B27" s="129" t="s">
        <v>29</v>
      </c>
      <c r="C27" s="128"/>
      <c r="D27" s="127"/>
      <c r="E27" s="127"/>
      <c r="F27" s="127"/>
    </row>
    <row r="28" spans="1:6">
      <c r="B28" s="258" t="s">
        <v>342</v>
      </c>
      <c r="C28" s="125"/>
      <c r="D28" s="125"/>
    </row>
    <row r="29" spans="1:6">
      <c r="B29" s="258" t="s">
        <v>343</v>
      </c>
      <c r="C29" s="125"/>
      <c r="D29" s="125"/>
    </row>
    <row r="30" spans="1:6">
      <c r="B30" s="39" t="s">
        <v>344</v>
      </c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7"/>
  <sheetViews>
    <sheetView workbookViewId="0">
      <selection activeCell="F3" sqref="F3"/>
    </sheetView>
  </sheetViews>
  <sheetFormatPr baseColWidth="10" defaultColWidth="8.83203125" defaultRowHeight="13" x14ac:dyDescent="0"/>
  <cols>
    <col min="1" max="1" width="6" style="1" bestFit="1" customWidth="1"/>
    <col min="2" max="2" width="20.83203125" style="1" bestFit="1" customWidth="1"/>
    <col min="3" max="3" width="6.1640625" style="1" bestFit="1" customWidth="1"/>
    <col min="4" max="4" width="16" style="1" customWidth="1"/>
    <col min="5" max="5" width="5.5" style="1" customWidth="1"/>
    <col min="6" max="16384" width="8.83203125" style="1"/>
  </cols>
  <sheetData>
    <row r="1" spans="1:6">
      <c r="B1" s="4"/>
      <c r="C1" s="4"/>
      <c r="D1" s="174" t="s">
        <v>31</v>
      </c>
      <c r="F1" s="260" t="s">
        <v>31</v>
      </c>
    </row>
    <row r="2" spans="1:6">
      <c r="A2" s="4">
        <v>8100</v>
      </c>
      <c r="B2" s="175" t="s">
        <v>15</v>
      </c>
      <c r="C2" s="4"/>
      <c r="D2" s="174" t="s">
        <v>305</v>
      </c>
      <c r="F2" s="260" t="s">
        <v>352</v>
      </c>
    </row>
    <row r="3" spans="1:6">
      <c r="A3" s="4"/>
      <c r="B3" s="191"/>
      <c r="C3" s="4" t="s">
        <v>29</v>
      </c>
    </row>
    <row r="4" spans="1:6">
      <c r="A4" s="4"/>
      <c r="B4" s="147"/>
      <c r="C4" s="190"/>
      <c r="D4" s="189"/>
      <c r="E4" s="189"/>
      <c r="F4" s="189"/>
    </row>
    <row r="5" spans="1:6">
      <c r="A5" s="4"/>
      <c r="B5" s="4" t="s">
        <v>28</v>
      </c>
      <c r="C5" s="162"/>
      <c r="D5" s="140"/>
    </row>
    <row r="6" spans="1:6">
      <c r="A6" s="4"/>
      <c r="B6" s="1" t="s">
        <v>94</v>
      </c>
      <c r="C6" s="162"/>
      <c r="D6" s="140">
        <v>1000</v>
      </c>
    </row>
    <row r="7" spans="1:6">
      <c r="A7" s="4"/>
      <c r="B7" s="1" t="s">
        <v>203</v>
      </c>
      <c r="C7" s="162"/>
      <c r="D7" s="140">
        <v>5500</v>
      </c>
    </row>
    <row r="8" spans="1:6">
      <c r="A8" s="4"/>
      <c r="B8" s="4" t="s">
        <v>77</v>
      </c>
      <c r="C8" s="161"/>
      <c r="D8" s="160">
        <f>SUM(D6:D7)</f>
        <v>6500</v>
      </c>
    </row>
    <row r="9" spans="1:6">
      <c r="A9" s="4"/>
      <c r="B9" s="4"/>
      <c r="C9" s="162"/>
      <c r="D9" s="140"/>
    </row>
    <row r="10" spans="1:6">
      <c r="A10" s="4"/>
      <c r="B10" s="4" t="s">
        <v>25</v>
      </c>
      <c r="C10" s="162"/>
      <c r="D10" s="140"/>
    </row>
    <row r="11" spans="1:6">
      <c r="B11" s="1" t="s">
        <v>202</v>
      </c>
      <c r="C11" s="162"/>
      <c r="D11" s="163">
        <v>2000</v>
      </c>
    </row>
    <row r="12" spans="1:6">
      <c r="B12" s="1" t="s">
        <v>124</v>
      </c>
      <c r="C12" s="162"/>
      <c r="D12" s="163">
        <v>0</v>
      </c>
    </row>
    <row r="13" spans="1:6">
      <c r="B13" s="1" t="s">
        <v>68</v>
      </c>
      <c r="C13" s="162" t="s">
        <v>345</v>
      </c>
      <c r="D13" s="163">
        <v>20000</v>
      </c>
    </row>
    <row r="14" spans="1:6">
      <c r="B14" s="1" t="s">
        <v>46</v>
      </c>
      <c r="C14" s="162"/>
      <c r="D14" s="163">
        <v>2000</v>
      </c>
    </row>
    <row r="15" spans="1:6">
      <c r="B15" s="1" t="s">
        <v>201</v>
      </c>
      <c r="C15" s="162"/>
      <c r="D15" s="140">
        <v>4966</v>
      </c>
    </row>
    <row r="16" spans="1:6">
      <c r="B16" s="1" t="s">
        <v>200</v>
      </c>
      <c r="C16" s="162"/>
      <c r="D16" s="140">
        <v>500</v>
      </c>
    </row>
    <row r="17" spans="2:6">
      <c r="B17" s="1" t="s">
        <v>40</v>
      </c>
      <c r="C17" s="162"/>
      <c r="D17" s="140">
        <v>1000</v>
      </c>
    </row>
    <row r="18" spans="2:6">
      <c r="B18" s="1" t="s">
        <v>122</v>
      </c>
      <c r="C18" s="162"/>
      <c r="D18" s="140"/>
    </row>
    <row r="19" spans="2:6">
      <c r="B19" s="4" t="s">
        <v>14</v>
      </c>
      <c r="C19" s="162"/>
      <c r="D19" s="160">
        <f>SUM(D11:D18)</f>
        <v>30466</v>
      </c>
    </row>
    <row r="20" spans="2:6">
      <c r="C20" s="162"/>
      <c r="D20" s="140"/>
    </row>
    <row r="21" spans="2:6" ht="14" thickBot="1">
      <c r="B21" s="4" t="s">
        <v>13</v>
      </c>
      <c r="C21" s="188"/>
      <c r="D21" s="151">
        <f>D8-D19</f>
        <v>-23966</v>
      </c>
    </row>
    <row r="22" spans="2:6" ht="14" thickTop="1">
      <c r="C22" s="187"/>
    </row>
    <row r="23" spans="2:6">
      <c r="B23" s="147" t="s">
        <v>29</v>
      </c>
      <c r="C23" s="146"/>
      <c r="D23" s="146"/>
      <c r="E23" s="146"/>
      <c r="F23" s="146"/>
    </row>
    <row r="24" spans="2:6" ht="18" customHeight="1">
      <c r="B24" s="144">
        <v>1</v>
      </c>
      <c r="C24" s="186" t="s">
        <v>332</v>
      </c>
    </row>
    <row r="25" spans="2:6">
      <c r="B25" s="144">
        <v>2</v>
      </c>
      <c r="C25" s="186" t="s">
        <v>346</v>
      </c>
    </row>
    <row r="26" spans="2:6">
      <c r="B26" s="144"/>
      <c r="C26" s="186"/>
    </row>
    <row r="27" spans="2:6">
      <c r="B27" s="144"/>
      <c r="C27" s="186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D4" sqref="D4"/>
    </sheetView>
  </sheetViews>
  <sheetFormatPr baseColWidth="10" defaultColWidth="8.83203125" defaultRowHeight="12" x14ac:dyDescent="0"/>
  <cols>
    <col min="1" max="1" width="5.83203125" style="39" customWidth="1"/>
    <col min="2" max="2" width="20.5" style="39" bestFit="1" customWidth="1"/>
    <col min="3" max="3" width="6.33203125" style="39" bestFit="1" customWidth="1"/>
    <col min="4" max="4" width="14.6640625" style="39" bestFit="1" customWidth="1"/>
    <col min="5" max="5" width="6" style="39" customWidth="1"/>
    <col min="6" max="16384" width="8.83203125" style="39"/>
  </cols>
  <sheetData>
    <row r="2" spans="1:6" ht="19.5" customHeight="1">
      <c r="B2" s="230"/>
      <c r="C2" s="228"/>
      <c r="D2" s="260" t="s">
        <v>31</v>
      </c>
      <c r="F2" s="260" t="s">
        <v>31</v>
      </c>
    </row>
    <row r="3" spans="1:6" ht="19.5" customHeight="1">
      <c r="A3" s="41">
        <v>6000</v>
      </c>
      <c r="B3" s="229" t="s">
        <v>288</v>
      </c>
      <c r="C3" s="228"/>
      <c r="D3" s="260" t="s">
        <v>305</v>
      </c>
      <c r="F3" s="260" t="s">
        <v>352</v>
      </c>
    </row>
    <row r="4" spans="1:6">
      <c r="C4" s="220" t="s">
        <v>29</v>
      </c>
    </row>
    <row r="5" spans="1:6" ht="17">
      <c r="B5" s="225" t="s">
        <v>28</v>
      </c>
      <c r="C5" s="226"/>
      <c r="D5" s="226"/>
      <c r="E5" s="226"/>
      <c r="F5" s="226"/>
    </row>
    <row r="6" spans="1:6">
      <c r="B6" s="39" t="s">
        <v>287</v>
      </c>
      <c r="C6" s="11"/>
      <c r="D6" s="15">
        <v>20000</v>
      </c>
    </row>
    <row r="7" spans="1:6">
      <c r="B7" s="39" t="s">
        <v>78</v>
      </c>
      <c r="C7" s="15"/>
      <c r="D7" s="15">
        <v>350000</v>
      </c>
    </row>
    <row r="8" spans="1:6">
      <c r="B8" s="39" t="s">
        <v>286</v>
      </c>
      <c r="C8" s="15"/>
      <c r="D8" s="15">
        <v>4000</v>
      </c>
    </row>
    <row r="9" spans="1:6">
      <c r="B9" s="39" t="s">
        <v>285</v>
      </c>
      <c r="C9" s="15"/>
      <c r="D9" s="15">
        <v>34000</v>
      </c>
    </row>
    <row r="10" spans="1:6">
      <c r="B10" s="39" t="s">
        <v>284</v>
      </c>
      <c r="C10" s="15"/>
      <c r="D10" s="15">
        <v>250</v>
      </c>
    </row>
    <row r="11" spans="1:6">
      <c r="B11" s="39" t="s">
        <v>283</v>
      </c>
      <c r="C11" s="15"/>
      <c r="D11" s="15">
        <v>20000</v>
      </c>
    </row>
    <row r="12" spans="1:6">
      <c r="B12" s="41" t="s">
        <v>77</v>
      </c>
      <c r="C12" s="11"/>
      <c r="D12" s="48">
        <f>SUM(D6:D11)</f>
        <v>428250</v>
      </c>
    </row>
    <row r="13" spans="1:6">
      <c r="C13" s="11"/>
      <c r="D13" s="15"/>
    </row>
    <row r="14" spans="1:6" ht="17">
      <c r="B14" s="225" t="s">
        <v>25</v>
      </c>
      <c r="C14" s="224"/>
      <c r="D14" s="223"/>
      <c r="E14" s="223"/>
      <c r="F14" s="223"/>
    </row>
    <row r="15" spans="1:6">
      <c r="B15" s="39" t="s">
        <v>76</v>
      </c>
      <c r="C15" s="15"/>
      <c r="D15" s="15">
        <v>10400</v>
      </c>
    </row>
    <row r="16" spans="1:6">
      <c r="B16" s="39" t="s">
        <v>308</v>
      </c>
      <c r="C16" s="15"/>
      <c r="D16" s="15">
        <v>2000</v>
      </c>
    </row>
    <row r="17" spans="2:4">
      <c r="B17" s="39" t="s">
        <v>282</v>
      </c>
      <c r="C17" s="15"/>
      <c r="D17" s="15"/>
    </row>
    <row r="18" spans="2:4">
      <c r="B18" s="39" t="s">
        <v>75</v>
      </c>
      <c r="C18" s="15"/>
      <c r="D18" s="15">
        <v>10000</v>
      </c>
    </row>
    <row r="19" spans="2:4">
      <c r="B19" s="39" t="s">
        <v>281</v>
      </c>
      <c r="C19" s="15"/>
      <c r="D19" s="15">
        <f>30000*1.03</f>
        <v>30900</v>
      </c>
    </row>
    <row r="20" spans="2:4">
      <c r="B20" s="39" t="s">
        <v>280</v>
      </c>
      <c r="C20" s="15"/>
      <c r="D20" s="15">
        <v>2000</v>
      </c>
    </row>
    <row r="21" spans="2:4">
      <c r="B21" s="39" t="s">
        <v>279</v>
      </c>
      <c r="C21" s="15"/>
      <c r="D21" s="15">
        <v>5025</v>
      </c>
    </row>
    <row r="22" spans="2:4">
      <c r="B22" s="39" t="s">
        <v>278</v>
      </c>
      <c r="C22" s="15"/>
      <c r="D22" s="15">
        <v>5815</v>
      </c>
    </row>
    <row r="23" spans="2:4">
      <c r="B23" s="39" t="s">
        <v>74</v>
      </c>
      <c r="C23" s="15"/>
      <c r="D23" s="15">
        <v>43245</v>
      </c>
    </row>
    <row r="24" spans="2:4">
      <c r="B24" s="39" t="s">
        <v>71</v>
      </c>
      <c r="C24" s="15"/>
      <c r="D24" s="15">
        <v>40800</v>
      </c>
    </row>
    <row r="25" spans="2:4">
      <c r="B25" s="39" t="s">
        <v>70</v>
      </c>
      <c r="C25" s="15"/>
      <c r="D25" s="15">
        <v>500</v>
      </c>
    </row>
    <row r="26" spans="2:4">
      <c r="B26" s="39" t="s">
        <v>277</v>
      </c>
      <c r="C26" s="15"/>
      <c r="D26" s="15">
        <v>11000</v>
      </c>
    </row>
    <row r="27" spans="2:4">
      <c r="B27" s="39" t="s">
        <v>276</v>
      </c>
      <c r="C27" s="15"/>
      <c r="D27" s="15">
        <v>1750</v>
      </c>
    </row>
    <row r="28" spans="2:4">
      <c r="B28" s="39" t="s">
        <v>275</v>
      </c>
      <c r="C28" s="15"/>
      <c r="D28" s="15">
        <v>4000</v>
      </c>
    </row>
    <row r="29" spans="2:4">
      <c r="B29" s="39" t="s">
        <v>274</v>
      </c>
      <c r="C29" s="15"/>
      <c r="D29" s="15">
        <v>900</v>
      </c>
    </row>
    <row r="30" spans="2:4">
      <c r="B30" s="39" t="s">
        <v>273</v>
      </c>
      <c r="C30" s="15"/>
      <c r="D30" s="15">
        <v>10000</v>
      </c>
    </row>
    <row r="31" spans="2:4">
      <c r="B31" s="39" t="s">
        <v>272</v>
      </c>
      <c r="C31" s="15"/>
      <c r="D31" s="15">
        <f>14000*1.03</f>
        <v>14420</v>
      </c>
    </row>
    <row r="32" spans="2:4">
      <c r="B32" s="39" t="s">
        <v>174</v>
      </c>
      <c r="C32" s="15"/>
      <c r="D32" s="15">
        <v>0</v>
      </c>
    </row>
    <row r="33" spans="2:6">
      <c r="B33" s="39" t="s">
        <v>271</v>
      </c>
      <c r="C33" s="15"/>
      <c r="D33" s="15">
        <v>175000</v>
      </c>
    </row>
    <row r="34" spans="2:6">
      <c r="B34" s="39" t="s">
        <v>83</v>
      </c>
      <c r="C34" s="15"/>
      <c r="D34" s="15">
        <v>2000</v>
      </c>
    </row>
    <row r="35" spans="2:6">
      <c r="B35" s="39" t="s">
        <v>270</v>
      </c>
      <c r="C35" s="15"/>
      <c r="D35" s="15">
        <v>2500</v>
      </c>
    </row>
    <row r="36" spans="2:6">
      <c r="B36" s="39" t="s">
        <v>100</v>
      </c>
      <c r="C36" s="15"/>
      <c r="D36" s="15">
        <v>1250</v>
      </c>
    </row>
    <row r="37" spans="2:6">
      <c r="B37" s="39" t="s">
        <v>40</v>
      </c>
      <c r="C37" s="15"/>
      <c r="D37" s="15">
        <v>3000</v>
      </c>
    </row>
    <row r="38" spans="2:6">
      <c r="B38" s="39" t="s">
        <v>126</v>
      </c>
      <c r="C38" s="15"/>
      <c r="D38" s="15">
        <v>1700</v>
      </c>
    </row>
    <row r="39" spans="2:6">
      <c r="B39" s="39" t="s">
        <v>148</v>
      </c>
      <c r="C39" s="15"/>
      <c r="D39" s="15">
        <v>1500</v>
      </c>
    </row>
    <row r="40" spans="2:6">
      <c r="B40" s="39" t="s">
        <v>269</v>
      </c>
      <c r="C40" s="15"/>
      <c r="D40" s="15">
        <v>15000</v>
      </c>
    </row>
    <row r="41" spans="2:6">
      <c r="B41" s="39" t="s">
        <v>268</v>
      </c>
      <c r="C41" s="15"/>
      <c r="D41" s="15">
        <v>10000</v>
      </c>
    </row>
    <row r="42" spans="2:6">
      <c r="B42" s="39" t="s">
        <v>267</v>
      </c>
      <c r="C42" s="15"/>
      <c r="D42" s="15">
        <v>900</v>
      </c>
    </row>
    <row r="43" spans="2:6">
      <c r="B43" s="41" t="s">
        <v>14</v>
      </c>
      <c r="C43" s="11"/>
      <c r="D43" s="48">
        <f>SUM(D15:D42)</f>
        <v>405605</v>
      </c>
    </row>
    <row r="44" spans="2:6">
      <c r="C44" s="11"/>
      <c r="D44" s="15"/>
    </row>
    <row r="45" spans="2:6" ht="13" thickBot="1">
      <c r="B45" s="41" t="s">
        <v>339</v>
      </c>
      <c r="C45" s="222"/>
      <c r="D45" s="16">
        <f>D12-D43</f>
        <v>22645</v>
      </c>
    </row>
    <row r="46" spans="2:6" ht="13" thickTop="1">
      <c r="C46" s="11"/>
      <c r="D46" s="15"/>
    </row>
    <row r="47" spans="2:6">
      <c r="D47" s="15"/>
    </row>
    <row r="48" spans="2:6">
      <c r="B48" s="221" t="s">
        <v>29</v>
      </c>
      <c r="C48" s="221"/>
      <c r="D48" s="221"/>
      <c r="E48" s="221"/>
      <c r="F48" s="221"/>
    </row>
    <row r="50" spans="2:3">
      <c r="B50" s="41"/>
      <c r="C50" s="41"/>
    </row>
  </sheetData>
  <pageMargins left="0.35" right="0.17" top="0.47" bottom="0.46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B1" workbookViewId="0">
      <selection activeCell="F3" sqref="F3"/>
    </sheetView>
  </sheetViews>
  <sheetFormatPr baseColWidth="10" defaultColWidth="8.83203125" defaultRowHeight="12" x14ac:dyDescent="0"/>
  <cols>
    <col min="1" max="1" width="5.1640625" style="39" bestFit="1" customWidth="1"/>
    <col min="2" max="2" width="38.33203125" style="39" bestFit="1" customWidth="1"/>
    <col min="3" max="3" width="6.33203125" style="39" bestFit="1" customWidth="1"/>
    <col min="4" max="4" width="14.6640625" style="39" bestFit="1" customWidth="1"/>
    <col min="5" max="5" width="4" style="39" customWidth="1"/>
    <col min="6" max="6" width="12.6640625" style="39" customWidth="1"/>
    <col min="7" max="16384" width="8.83203125" style="39"/>
  </cols>
  <sheetData>
    <row r="1" spans="1:6" ht="18">
      <c r="C1" s="240"/>
      <c r="D1" s="260" t="s">
        <v>31</v>
      </c>
      <c r="F1" s="260" t="s">
        <v>31</v>
      </c>
    </row>
    <row r="2" spans="1:6" ht="18">
      <c r="A2" s="41">
        <v>6500</v>
      </c>
      <c r="B2" s="243" t="s">
        <v>302</v>
      </c>
      <c r="C2" s="240"/>
      <c r="D2" s="260" t="s">
        <v>305</v>
      </c>
      <c r="F2" s="260" t="s">
        <v>352</v>
      </c>
    </row>
    <row r="3" spans="1:6">
      <c r="C3" s="41" t="s">
        <v>29</v>
      </c>
    </row>
    <row r="4" spans="1:6" ht="15">
      <c r="B4" s="242" t="s">
        <v>28</v>
      </c>
      <c r="C4" s="226"/>
      <c r="D4" s="226"/>
      <c r="E4" s="226"/>
      <c r="F4" s="226"/>
    </row>
    <row r="5" spans="1:6">
      <c r="B5" s="39" t="s">
        <v>196</v>
      </c>
      <c r="C5" s="11"/>
      <c r="D5" s="15">
        <v>60000</v>
      </c>
      <c r="E5" s="15"/>
    </row>
    <row r="6" spans="1:6">
      <c r="B6" s="39" t="s">
        <v>301</v>
      </c>
      <c r="C6" s="15"/>
      <c r="D6" s="15">
        <v>1500</v>
      </c>
    </row>
    <row r="7" spans="1:6">
      <c r="B7" s="39" t="s">
        <v>300</v>
      </c>
      <c r="C7" s="15"/>
      <c r="D7" s="15"/>
    </row>
    <row r="8" spans="1:6">
      <c r="B8" s="39" t="s">
        <v>299</v>
      </c>
      <c r="C8" s="15"/>
      <c r="D8" s="15">
        <v>1000</v>
      </c>
    </row>
    <row r="9" spans="1:6">
      <c r="B9" s="41" t="s">
        <v>26</v>
      </c>
      <c r="C9" s="222"/>
      <c r="D9" s="48">
        <f>SUM(D5:D8)</f>
        <v>62500</v>
      </c>
    </row>
    <row r="10" spans="1:6">
      <c r="C10" s="11"/>
      <c r="D10" s="15"/>
    </row>
    <row r="11" spans="1:6" ht="15">
      <c r="B11" s="242" t="s">
        <v>25</v>
      </c>
      <c r="C11" s="224"/>
      <c r="D11" s="223"/>
      <c r="E11" s="223"/>
      <c r="F11" s="223"/>
    </row>
    <row r="12" spans="1:6">
      <c r="B12" s="39" t="s">
        <v>279</v>
      </c>
      <c r="C12" s="15"/>
      <c r="D12" s="15">
        <v>3700</v>
      </c>
    </row>
    <row r="13" spans="1:6">
      <c r="B13" s="39" t="s">
        <v>298</v>
      </c>
      <c r="C13" s="15"/>
      <c r="D13" s="15">
        <v>1000</v>
      </c>
    </row>
    <row r="14" spans="1:6">
      <c r="B14" s="39" t="s">
        <v>297</v>
      </c>
      <c r="C14" s="15"/>
      <c r="D14" s="15">
        <v>55000</v>
      </c>
    </row>
    <row r="15" spans="1:6">
      <c r="B15" s="39" t="s">
        <v>316</v>
      </c>
      <c r="C15" s="15"/>
      <c r="D15" s="15">
        <v>750</v>
      </c>
    </row>
    <row r="16" spans="1:6">
      <c r="B16" s="39" t="s">
        <v>317</v>
      </c>
      <c r="C16" s="15"/>
      <c r="D16" s="15">
        <v>900</v>
      </c>
    </row>
    <row r="17" spans="2:6">
      <c r="B17" s="39" t="s">
        <v>122</v>
      </c>
      <c r="C17" s="15"/>
      <c r="D17" s="15"/>
    </row>
    <row r="18" spans="2:6">
      <c r="B18" s="64" t="s">
        <v>296</v>
      </c>
      <c r="C18" s="15"/>
      <c r="D18" s="15">
        <v>250</v>
      </c>
    </row>
    <row r="19" spans="2:6">
      <c r="B19" s="39" t="s">
        <v>295</v>
      </c>
      <c r="C19" s="15"/>
      <c r="D19" s="112">
        <v>500</v>
      </c>
    </row>
    <row r="20" spans="2:6">
      <c r="B20" s="41" t="s">
        <v>14</v>
      </c>
      <c r="C20" s="11"/>
      <c r="D20" s="110">
        <f>SUM(D12:D19)</f>
        <v>62100</v>
      </c>
    </row>
    <row r="21" spans="2:6">
      <c r="C21" s="11"/>
      <c r="D21" s="15"/>
    </row>
    <row r="22" spans="2:6" ht="13" thickBot="1">
      <c r="B22" s="41" t="s">
        <v>339</v>
      </c>
      <c r="C22" s="18"/>
      <c r="D22" s="16">
        <f>D9-D20</f>
        <v>400</v>
      </c>
    </row>
    <row r="23" spans="2:6" ht="13" thickTop="1"/>
    <row r="24" spans="2:6">
      <c r="B24" s="241" t="s">
        <v>294</v>
      </c>
      <c r="C24" s="226"/>
      <c r="D24" s="226"/>
      <c r="E24" s="226"/>
      <c r="F24" s="226"/>
    </row>
    <row r="25" spans="2:6">
      <c r="B25" s="99"/>
      <c r="C25" s="99"/>
    </row>
  </sheetData>
  <pageMargins left="0.75" right="0.17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21" sqref="D21:F21"/>
    </sheetView>
  </sheetViews>
  <sheetFormatPr baseColWidth="10" defaultColWidth="8.83203125" defaultRowHeight="12" x14ac:dyDescent="0"/>
  <cols>
    <col min="1" max="1" width="6.5" style="39" bestFit="1" customWidth="1"/>
    <col min="2" max="2" width="20" style="39" customWidth="1"/>
    <col min="3" max="3" width="6.6640625" style="39" customWidth="1"/>
    <col min="4" max="4" width="16" style="39" customWidth="1"/>
    <col min="5" max="16384" width="8.83203125" style="39"/>
  </cols>
  <sheetData>
    <row r="1" spans="1:6" ht="18">
      <c r="C1" s="240"/>
      <c r="D1" s="227" t="s">
        <v>31</v>
      </c>
      <c r="F1" s="260" t="s">
        <v>31</v>
      </c>
    </row>
    <row r="2" spans="1:6" ht="18">
      <c r="A2" s="239">
        <v>9000</v>
      </c>
      <c r="B2" s="238" t="s">
        <v>293</v>
      </c>
      <c r="C2" s="69"/>
      <c r="D2" s="227" t="s">
        <v>305</v>
      </c>
      <c r="F2" s="260" t="s">
        <v>352</v>
      </c>
    </row>
    <row r="3" spans="1:6">
      <c r="B3" s="41"/>
      <c r="C3" s="41" t="s">
        <v>29</v>
      </c>
    </row>
    <row r="4" spans="1:6" ht="15">
      <c r="B4" s="235" t="s">
        <v>28</v>
      </c>
      <c r="C4" s="237"/>
      <c r="D4" s="231"/>
      <c r="E4" s="231"/>
      <c r="F4" s="231"/>
    </row>
    <row r="5" spans="1:6">
      <c r="B5" s="39" t="s">
        <v>292</v>
      </c>
      <c r="C5" s="11"/>
      <c r="D5" s="106">
        <v>190000</v>
      </c>
    </row>
    <row r="6" spans="1:6" ht="15">
      <c r="B6" s="41"/>
      <c r="C6" s="236"/>
      <c r="D6" s="15"/>
    </row>
    <row r="7" spans="1:6" ht="15">
      <c r="B7" s="235" t="s">
        <v>25</v>
      </c>
      <c r="C7" s="234"/>
      <c r="D7" s="233"/>
      <c r="E7" s="233"/>
      <c r="F7" s="233"/>
    </row>
    <row r="8" spans="1:6">
      <c r="B8" s="39" t="s">
        <v>291</v>
      </c>
      <c r="C8" s="15"/>
      <c r="D8" s="15">
        <v>122000</v>
      </c>
    </row>
    <row r="9" spans="1:6">
      <c r="B9" s="39" t="s">
        <v>68</v>
      </c>
      <c r="C9" s="15"/>
      <c r="D9" s="15">
        <v>17500</v>
      </c>
    </row>
    <row r="10" spans="1:6">
      <c r="B10" s="39" t="s">
        <v>199</v>
      </c>
      <c r="C10" s="15"/>
      <c r="D10" s="15">
        <v>500</v>
      </c>
    </row>
    <row r="11" spans="1:6">
      <c r="B11" s="39" t="s">
        <v>279</v>
      </c>
      <c r="C11" s="15"/>
      <c r="D11" s="15">
        <v>765</v>
      </c>
    </row>
    <row r="12" spans="1:6">
      <c r="B12" s="39" t="s">
        <v>290</v>
      </c>
      <c r="C12" s="15"/>
      <c r="D12" s="15">
        <v>2405</v>
      </c>
    </row>
    <row r="13" spans="1:6">
      <c r="B13" s="39" t="s">
        <v>196</v>
      </c>
      <c r="C13" s="15"/>
      <c r="D13" s="15">
        <v>1000</v>
      </c>
    </row>
    <row r="14" spans="1:6">
      <c r="B14" s="39" t="s">
        <v>116</v>
      </c>
      <c r="C14" s="15"/>
      <c r="D14" s="15">
        <v>0</v>
      </c>
    </row>
    <row r="15" spans="1:6">
      <c r="B15" s="39" t="s">
        <v>124</v>
      </c>
      <c r="C15" s="15"/>
      <c r="D15" s="15">
        <v>0</v>
      </c>
    </row>
    <row r="16" spans="1:6">
      <c r="B16" s="39" t="s">
        <v>289</v>
      </c>
      <c r="C16" s="15"/>
      <c r="D16" s="112">
        <v>150</v>
      </c>
    </row>
    <row r="17" spans="2:6">
      <c r="B17" s="41" t="s">
        <v>14</v>
      </c>
      <c r="C17" s="18"/>
      <c r="D17" s="32">
        <f>SUM(D8:D16)</f>
        <v>144320</v>
      </c>
    </row>
    <row r="18" spans="2:6">
      <c r="C18" s="11"/>
      <c r="D18" s="15"/>
    </row>
    <row r="19" spans="2:6" ht="13" thickBot="1">
      <c r="B19" s="41" t="s">
        <v>266</v>
      </c>
      <c r="C19" s="232"/>
      <c r="D19" s="16">
        <f>D5-D17</f>
        <v>45680</v>
      </c>
    </row>
    <row r="20" spans="2:6" ht="13" thickTop="1">
      <c r="D20" s="15"/>
    </row>
    <row r="21" spans="2:6">
      <c r="B21" s="221" t="s">
        <v>29</v>
      </c>
      <c r="C21" s="231"/>
      <c r="D21" s="231"/>
      <c r="E21" s="231"/>
      <c r="F21" s="231"/>
    </row>
    <row r="22" spans="2:6">
      <c r="B22" s="39" t="s">
        <v>347</v>
      </c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7"/>
  <sheetViews>
    <sheetView workbookViewId="0">
      <selection activeCell="F37" sqref="F37"/>
    </sheetView>
  </sheetViews>
  <sheetFormatPr baseColWidth="10" defaultColWidth="8.83203125" defaultRowHeight="13" x14ac:dyDescent="0"/>
  <cols>
    <col min="1" max="1" width="36.6640625" style="1" customWidth="1"/>
    <col min="2" max="2" width="7.1640625" style="1" customWidth="1"/>
    <col min="3" max="3" width="2.5" style="1" customWidth="1"/>
    <col min="4" max="4" width="11.33203125" style="1" bestFit="1" customWidth="1"/>
    <col min="5" max="5" width="3.83203125" style="1" customWidth="1"/>
    <col min="6" max="6" width="11.33203125" style="1" bestFit="1" customWidth="1"/>
    <col min="7" max="7" width="9.33203125" style="1" bestFit="1" customWidth="1"/>
    <col min="8" max="16384" width="8.83203125" style="1"/>
  </cols>
  <sheetData>
    <row r="1" spans="1:6">
      <c r="A1" s="4"/>
      <c r="C1" s="174"/>
      <c r="D1" s="174" t="s">
        <v>31</v>
      </c>
      <c r="E1" s="174"/>
      <c r="F1" s="174" t="s">
        <v>31</v>
      </c>
    </row>
    <row r="2" spans="1:6">
      <c r="A2" s="175" t="s">
        <v>265</v>
      </c>
      <c r="C2" s="219"/>
      <c r="D2" s="219" t="s">
        <v>30</v>
      </c>
      <c r="E2" s="219"/>
      <c r="F2" s="219" t="s">
        <v>305</v>
      </c>
    </row>
    <row r="3" spans="1:6">
      <c r="A3" s="4"/>
      <c r="B3" s="219" t="s">
        <v>29</v>
      </c>
      <c r="D3" s="171"/>
      <c r="F3" s="171"/>
    </row>
    <row r="4" spans="1:6">
      <c r="A4" s="147" t="s">
        <v>18</v>
      </c>
      <c r="B4" s="147"/>
      <c r="C4" s="146"/>
      <c r="D4" s="146"/>
      <c r="E4" s="146"/>
      <c r="F4" s="146"/>
    </row>
    <row r="5" spans="1:6">
      <c r="A5" s="171" t="s">
        <v>264</v>
      </c>
      <c r="C5" s="166"/>
      <c r="D5" s="166">
        <v>9985</v>
      </c>
      <c r="E5" s="166"/>
      <c r="F5" s="166">
        <f>D5*1.03</f>
        <v>10284.550000000001</v>
      </c>
    </row>
    <row r="6" spans="1:6">
      <c r="A6" s="171" t="s">
        <v>263</v>
      </c>
      <c r="C6" s="166"/>
      <c r="D6" s="166">
        <v>9985</v>
      </c>
      <c r="E6" s="166"/>
      <c r="F6" s="166">
        <f t="shared" ref="F6:F11" si="0">D6*1.03</f>
        <v>10284.550000000001</v>
      </c>
    </row>
    <row r="7" spans="1:6">
      <c r="A7" s="171" t="s">
        <v>262</v>
      </c>
      <c r="C7" s="166"/>
      <c r="D7" s="166">
        <v>9000</v>
      </c>
      <c r="E7" s="166"/>
      <c r="F7" s="166">
        <f t="shared" si="0"/>
        <v>9270</v>
      </c>
    </row>
    <row r="8" spans="1:6">
      <c r="A8" s="171" t="s">
        <v>261</v>
      </c>
      <c r="C8" s="166"/>
      <c r="D8" s="166">
        <v>9000</v>
      </c>
      <c r="E8" s="166"/>
      <c r="F8" s="166">
        <f t="shared" si="0"/>
        <v>9270</v>
      </c>
    </row>
    <row r="9" spans="1:6">
      <c r="A9" s="171" t="s">
        <v>260</v>
      </c>
      <c r="C9" s="166"/>
      <c r="D9" s="166">
        <v>9000</v>
      </c>
      <c r="E9" s="166"/>
      <c r="F9" s="166">
        <f t="shared" si="0"/>
        <v>9270</v>
      </c>
    </row>
    <row r="10" spans="1:6">
      <c r="A10" s="171" t="s">
        <v>259</v>
      </c>
      <c r="C10" s="166"/>
      <c r="D10" s="166">
        <v>9000</v>
      </c>
      <c r="E10" s="166"/>
      <c r="F10" s="166">
        <f t="shared" si="0"/>
        <v>9270</v>
      </c>
    </row>
    <row r="11" spans="1:6">
      <c r="A11" s="171" t="s">
        <v>258</v>
      </c>
      <c r="C11" s="166"/>
      <c r="D11" s="166">
        <v>9000</v>
      </c>
      <c r="E11" s="166"/>
      <c r="F11" s="166">
        <f t="shared" si="0"/>
        <v>9270</v>
      </c>
    </row>
    <row r="12" spans="1:6">
      <c r="A12" s="171"/>
      <c r="C12" s="166"/>
      <c r="D12" s="166"/>
      <c r="E12" s="166"/>
      <c r="F12" s="166"/>
    </row>
    <row r="13" spans="1:6">
      <c r="A13" s="147" t="s">
        <v>257</v>
      </c>
      <c r="B13" s="147"/>
      <c r="C13" s="145"/>
      <c r="D13" s="145"/>
      <c r="E13" s="145"/>
      <c r="F13" s="145"/>
    </row>
    <row r="14" spans="1:6">
      <c r="A14" s="218" t="s">
        <v>256</v>
      </c>
      <c r="C14" s="166"/>
      <c r="D14" s="166"/>
      <c r="E14" s="166"/>
      <c r="F14" s="166"/>
    </row>
    <row r="15" spans="1:6">
      <c r="A15" s="171" t="s">
        <v>255</v>
      </c>
      <c r="C15" s="166"/>
      <c r="D15" s="140">
        <v>1000</v>
      </c>
      <c r="E15" s="166"/>
      <c r="F15" s="140">
        <f>'Activities &amp; Events'!D22</f>
        <v>1288</v>
      </c>
    </row>
    <row r="16" spans="1:6">
      <c r="A16" s="171" t="s">
        <v>254</v>
      </c>
      <c r="C16" s="166"/>
      <c r="D16" s="140">
        <v>750</v>
      </c>
      <c r="E16" s="166"/>
      <c r="F16" s="140">
        <f>'Activities &amp; Events'!D45</f>
        <v>772.5</v>
      </c>
    </row>
    <row r="17" spans="1:8">
      <c r="A17" s="171"/>
      <c r="C17" s="166"/>
      <c r="D17" s="140"/>
      <c r="E17" s="166"/>
      <c r="F17" s="140"/>
    </row>
    <row r="18" spans="1:8">
      <c r="A18" s="218" t="s">
        <v>21</v>
      </c>
      <c r="C18" s="166"/>
      <c r="D18" s="140"/>
      <c r="E18" s="166"/>
      <c r="F18" s="140"/>
    </row>
    <row r="19" spans="1:8">
      <c r="A19" s="171" t="s">
        <v>253</v>
      </c>
      <c r="C19" s="166"/>
      <c r="D19" s="140">
        <v>1500</v>
      </c>
      <c r="E19" s="166"/>
      <c r="F19" s="140">
        <v>0</v>
      </c>
    </row>
    <row r="20" spans="1:8">
      <c r="A20" s="171" t="s">
        <v>348</v>
      </c>
      <c r="C20" s="166"/>
      <c r="D20" s="140">
        <v>1500</v>
      </c>
      <c r="E20" s="166"/>
      <c r="F20" s="140">
        <f>Communications!D29</f>
        <v>3090</v>
      </c>
    </row>
    <row r="21" spans="1:8">
      <c r="A21" s="171" t="s">
        <v>252</v>
      </c>
      <c r="C21" s="166"/>
      <c r="D21" s="140">
        <v>3500</v>
      </c>
      <c r="E21" s="166"/>
      <c r="F21" s="140">
        <f>Communications!D26</f>
        <v>4120</v>
      </c>
      <c r="H21" s="171"/>
    </row>
    <row r="22" spans="1:8">
      <c r="A22" s="171" t="s">
        <v>251</v>
      </c>
      <c r="C22" s="166"/>
      <c r="D22" s="163">
        <v>1800</v>
      </c>
      <c r="E22" s="166"/>
      <c r="F22" s="163">
        <f>Appendix!E21</f>
        <v>1648</v>
      </c>
    </row>
    <row r="23" spans="1:8">
      <c r="A23" s="171" t="s">
        <v>250</v>
      </c>
      <c r="C23" s="166"/>
      <c r="D23" s="163">
        <v>0</v>
      </c>
      <c r="E23" s="166"/>
      <c r="F23" s="163">
        <v>0</v>
      </c>
    </row>
    <row r="24" spans="1:8">
      <c r="A24" s="171" t="s">
        <v>249</v>
      </c>
      <c r="C24" s="166"/>
      <c r="D24" s="163">
        <v>500</v>
      </c>
      <c r="E24" s="166"/>
      <c r="F24" s="163">
        <f>Appendix!E23</f>
        <v>515</v>
      </c>
    </row>
    <row r="25" spans="1:8">
      <c r="A25" s="171" t="s">
        <v>248</v>
      </c>
      <c r="C25" s="166"/>
      <c r="D25" s="163">
        <v>3500</v>
      </c>
      <c r="E25" s="166"/>
      <c r="F25" s="163">
        <f>Appendix!E24</f>
        <v>3605</v>
      </c>
    </row>
    <row r="26" spans="1:8">
      <c r="A26" s="171" t="s">
        <v>247</v>
      </c>
      <c r="C26" s="166"/>
      <c r="D26" s="163">
        <v>3200</v>
      </c>
      <c r="E26" s="166"/>
      <c r="F26" s="163">
        <f>Appendix!E45</f>
        <v>3295</v>
      </c>
      <c r="G26" s="148"/>
    </row>
    <row r="27" spans="1:8">
      <c r="A27" s="171" t="s">
        <v>246</v>
      </c>
      <c r="C27" s="166"/>
      <c r="D27" s="163">
        <v>4500</v>
      </c>
      <c r="E27" s="166"/>
      <c r="F27" s="163">
        <f>Appendix!E46</f>
        <v>4635</v>
      </c>
    </row>
    <row r="28" spans="1:8">
      <c r="A28" s="171"/>
      <c r="C28" s="166"/>
      <c r="D28" s="163"/>
      <c r="E28" s="166"/>
      <c r="F28" s="163"/>
    </row>
    <row r="29" spans="1:8">
      <c r="A29" s="218" t="s">
        <v>20</v>
      </c>
      <c r="C29" s="166"/>
      <c r="D29" s="140"/>
      <c r="E29" s="166"/>
      <c r="F29" s="140"/>
    </row>
    <row r="30" spans="1:8">
      <c r="A30" s="171" t="s">
        <v>245</v>
      </c>
      <c r="C30" s="166"/>
      <c r="D30" s="140">
        <v>3000</v>
      </c>
      <c r="E30" s="166"/>
      <c r="F30" s="140">
        <f>'Union Services'!D7</f>
        <v>2250</v>
      </c>
    </row>
    <row r="31" spans="1:8">
      <c r="A31" s="171" t="s">
        <v>244</v>
      </c>
      <c r="C31" s="166"/>
      <c r="D31" s="140">
        <v>1500</v>
      </c>
      <c r="E31" s="166"/>
      <c r="F31" s="140">
        <f>'Union Services'!D16</f>
        <v>1030</v>
      </c>
    </row>
    <row r="32" spans="1:8">
      <c r="A32" s="171" t="s">
        <v>243</v>
      </c>
      <c r="B32" s="171"/>
      <c r="C32" s="166"/>
      <c r="D32" s="163">
        <v>500</v>
      </c>
      <c r="E32" s="166"/>
      <c r="F32" s="163">
        <v>0</v>
      </c>
    </row>
    <row r="33" spans="1:6">
      <c r="A33" s="171" t="s">
        <v>242</v>
      </c>
      <c r="B33" s="171"/>
      <c r="C33" s="166"/>
      <c r="D33" s="163">
        <v>600</v>
      </c>
      <c r="E33" s="166"/>
      <c r="F33" s="163">
        <f>'Union Services'!D25</f>
        <v>600</v>
      </c>
    </row>
    <row r="34" spans="1:6">
      <c r="A34" s="171" t="s">
        <v>241</v>
      </c>
      <c r="B34" s="171"/>
      <c r="C34" s="166"/>
      <c r="D34" s="163">
        <v>1000</v>
      </c>
      <c r="E34" s="166"/>
      <c r="F34" s="163">
        <f>'Union Services'!D37</f>
        <v>1030</v>
      </c>
    </row>
    <row r="35" spans="1:6">
      <c r="A35" s="171" t="s">
        <v>240</v>
      </c>
      <c r="B35" s="171"/>
      <c r="C35" s="166"/>
      <c r="D35" s="163">
        <v>250</v>
      </c>
      <c r="E35" s="166"/>
      <c r="F35" s="163"/>
    </row>
    <row r="36" spans="1:6">
      <c r="A36" s="171" t="s">
        <v>239</v>
      </c>
      <c r="B36" s="171"/>
      <c r="C36" s="166"/>
      <c r="D36" s="163">
        <v>250</v>
      </c>
      <c r="E36" s="166"/>
      <c r="F36" s="163"/>
    </row>
    <row r="37" spans="1:6">
      <c r="A37" s="171"/>
      <c r="C37" s="166"/>
      <c r="D37" s="140"/>
      <c r="E37" s="166"/>
      <c r="F37" s="140"/>
    </row>
    <row r="38" spans="1:6">
      <c r="A38" s="218" t="s">
        <v>19</v>
      </c>
      <c r="C38" s="166"/>
      <c r="D38" s="140"/>
      <c r="E38" s="166"/>
      <c r="F38" s="140"/>
    </row>
    <row r="39" spans="1:6">
      <c r="A39" s="171" t="s">
        <v>349</v>
      </c>
      <c r="C39" s="166"/>
      <c r="D39" s="140">
        <v>3750</v>
      </c>
      <c r="E39" s="166"/>
      <c r="F39" s="140">
        <f>'Elected Rep'!D6</f>
        <v>4120</v>
      </c>
    </row>
    <row r="40" spans="1:6">
      <c r="A40" s="171" t="s">
        <v>238</v>
      </c>
      <c r="C40" s="166"/>
      <c r="D40" s="140">
        <v>2250</v>
      </c>
      <c r="E40" s="166"/>
      <c r="F40" s="140">
        <f>'Elected Rep'!D11</f>
        <v>2317.5</v>
      </c>
    </row>
    <row r="41" spans="1:6">
      <c r="A41" s="171" t="s">
        <v>237</v>
      </c>
      <c r="C41" s="166"/>
      <c r="D41" s="140">
        <v>500</v>
      </c>
      <c r="E41" s="166"/>
      <c r="F41" s="140">
        <f>'Elected Rep'!D8</f>
        <v>772.5</v>
      </c>
    </row>
    <row r="42" spans="1:6">
      <c r="A42" s="171" t="s">
        <v>236</v>
      </c>
      <c r="C42" s="166"/>
      <c r="D42" s="140">
        <v>750</v>
      </c>
      <c r="E42" s="166"/>
      <c r="F42" s="140">
        <f>'Elected Rep'!D9</f>
        <v>515</v>
      </c>
    </row>
    <row r="43" spans="1:6">
      <c r="A43" s="171" t="s">
        <v>235</v>
      </c>
      <c r="C43" s="166"/>
      <c r="D43" s="140">
        <v>1000</v>
      </c>
      <c r="E43" s="166"/>
      <c r="F43" s="140">
        <f>'Elected Rep'!D10</f>
        <v>772.5</v>
      </c>
    </row>
    <row r="44" spans="1:6">
      <c r="A44" s="171"/>
      <c r="C44" s="166"/>
      <c r="D44" s="140"/>
      <c r="E44" s="166"/>
      <c r="F44" s="140"/>
    </row>
    <row r="45" spans="1:6">
      <c r="A45" s="218" t="s">
        <v>142</v>
      </c>
      <c r="C45" s="166"/>
      <c r="D45" s="140"/>
      <c r="E45" s="166"/>
      <c r="F45" s="140"/>
    </row>
    <row r="46" spans="1:6">
      <c r="A46" s="171" t="s">
        <v>234</v>
      </c>
      <c r="C46" s="166"/>
      <c r="D46" s="140">
        <v>500</v>
      </c>
      <c r="E46" s="166"/>
      <c r="F46" s="140">
        <f>'Elected Rep'!D21</f>
        <v>515</v>
      </c>
    </row>
    <row r="47" spans="1:6">
      <c r="A47" s="171" t="s">
        <v>233</v>
      </c>
      <c r="C47" s="166"/>
      <c r="D47" s="140">
        <v>1250</v>
      </c>
      <c r="E47" s="166"/>
      <c r="F47" s="140">
        <f>'Elected Rep'!D22</f>
        <v>1287.5</v>
      </c>
    </row>
    <row r="48" spans="1:6">
      <c r="A48" s="171" t="s">
        <v>232</v>
      </c>
      <c r="C48" s="166"/>
      <c r="D48" s="140">
        <v>750</v>
      </c>
      <c r="E48" s="166"/>
      <c r="F48" s="140">
        <f>D48*1.03</f>
        <v>772.5</v>
      </c>
    </row>
    <row r="49" spans="1:6">
      <c r="A49" s="171" t="s">
        <v>231</v>
      </c>
      <c r="C49" s="166"/>
      <c r="D49" s="140">
        <v>750</v>
      </c>
      <c r="E49" s="166"/>
      <c r="F49" s="140">
        <f>D49*1.03</f>
        <v>772.5</v>
      </c>
    </row>
    <row r="50" spans="1:6">
      <c r="A50" s="171"/>
      <c r="C50" s="166"/>
      <c r="D50" s="140"/>
      <c r="E50" s="166"/>
      <c r="F50" s="140"/>
    </row>
    <row r="51" spans="1:6">
      <c r="A51" s="218" t="s">
        <v>18</v>
      </c>
      <c r="C51" s="166"/>
      <c r="D51" s="140"/>
      <c r="E51" s="166"/>
      <c r="F51" s="140"/>
    </row>
    <row r="52" spans="1:6">
      <c r="A52" s="171" t="s">
        <v>230</v>
      </c>
      <c r="C52" s="166"/>
      <c r="D52" s="140">
        <v>1500</v>
      </c>
      <c r="E52" s="166"/>
      <c r="F52" s="140">
        <f>1500*1.03</f>
        <v>1545</v>
      </c>
    </row>
    <row r="53" spans="1:6">
      <c r="A53" s="171" t="s">
        <v>229</v>
      </c>
      <c r="C53" s="166"/>
      <c r="D53" s="140">
        <v>500</v>
      </c>
      <c r="E53" s="166"/>
      <c r="F53" s="140">
        <f>Executive!D16</f>
        <v>412</v>
      </c>
    </row>
    <row r="54" spans="1:6">
      <c r="A54" s="171"/>
      <c r="C54" s="166"/>
      <c r="D54" s="140"/>
      <c r="E54" s="166"/>
      <c r="F54" s="140"/>
    </row>
    <row r="55" spans="1:6">
      <c r="A55" s="218" t="s">
        <v>17</v>
      </c>
      <c r="C55" s="166"/>
      <c r="D55" s="140"/>
      <c r="E55" s="166"/>
      <c r="F55" s="140"/>
    </row>
    <row r="56" spans="1:6">
      <c r="A56" s="171" t="s">
        <v>228</v>
      </c>
      <c r="C56" s="166"/>
      <c r="D56" s="140">
        <v>8250</v>
      </c>
      <c r="E56" s="166"/>
      <c r="F56" s="140">
        <f>'Student Relations'!D10</f>
        <v>8497.5</v>
      </c>
    </row>
    <row r="57" spans="1:6">
      <c r="A57" s="171" t="s">
        <v>227</v>
      </c>
      <c r="C57" s="169"/>
      <c r="D57" s="140">
        <v>5600</v>
      </c>
      <c r="E57" s="169"/>
      <c r="F57" s="140">
        <f>'Student Relations'!D12</f>
        <v>5768</v>
      </c>
    </row>
    <row r="58" spans="1:6">
      <c r="A58" s="171" t="s">
        <v>350</v>
      </c>
      <c r="C58" s="169"/>
      <c r="D58" s="140">
        <v>1750</v>
      </c>
      <c r="E58" s="169"/>
      <c r="F58" s="140">
        <f>'Student Relations'!D21</f>
        <v>1030</v>
      </c>
    </row>
    <row r="59" spans="1:6">
      <c r="A59" s="171" t="s">
        <v>226</v>
      </c>
      <c r="C59" s="169"/>
      <c r="D59" s="149">
        <v>1500</v>
      </c>
      <c r="E59" s="169"/>
      <c r="F59" s="149">
        <f>'Student Relations'!D13</f>
        <v>1545</v>
      </c>
    </row>
    <row r="60" spans="1:6">
      <c r="A60" s="171" t="s">
        <v>225</v>
      </c>
      <c r="C60" s="169"/>
      <c r="D60" s="149">
        <v>500</v>
      </c>
      <c r="E60" s="169"/>
      <c r="F60" s="149">
        <v>0</v>
      </c>
    </row>
    <row r="61" spans="1:6">
      <c r="A61" s="171"/>
      <c r="C61" s="169"/>
      <c r="D61" s="149"/>
      <c r="E61" s="169"/>
      <c r="F61" s="149"/>
    </row>
    <row r="62" spans="1:6">
      <c r="A62" s="218" t="s">
        <v>16</v>
      </c>
      <c r="C62" s="166"/>
      <c r="D62" s="140"/>
      <c r="E62" s="166"/>
      <c r="F62" s="140"/>
    </row>
    <row r="63" spans="1:6">
      <c r="A63" s="171" t="s">
        <v>224</v>
      </c>
      <c r="C63" s="166"/>
      <c r="D63" s="140">
        <v>750</v>
      </c>
      <c r="E63" s="166"/>
      <c r="F63" s="140">
        <f>'Activities &amp; Events'!D97</f>
        <v>1030</v>
      </c>
    </row>
    <row r="64" spans="1:6">
      <c r="A64" s="171" t="s">
        <v>223</v>
      </c>
      <c r="C64" s="166"/>
      <c r="D64" s="140">
        <v>750</v>
      </c>
      <c r="E64" s="166"/>
      <c r="F64" s="140">
        <f>Finance!D8</f>
        <v>772.5</v>
      </c>
    </row>
    <row r="65" spans="1:6">
      <c r="A65" s="171" t="s">
        <v>222</v>
      </c>
      <c r="C65" s="166"/>
      <c r="D65" s="217">
        <v>800</v>
      </c>
      <c r="E65" s="166"/>
      <c r="F65" s="217">
        <v>800</v>
      </c>
    </row>
    <row r="66" spans="1:6">
      <c r="A66" s="191"/>
      <c r="C66" s="163"/>
      <c r="D66" s="140"/>
      <c r="E66" s="163"/>
      <c r="F66" s="140"/>
    </row>
    <row r="67" spans="1:6" ht="17" thickBot="1">
      <c r="A67" s="191" t="s">
        <v>221</v>
      </c>
      <c r="C67" s="216"/>
      <c r="D67" s="151">
        <f>SUM(D5:D65)</f>
        <v>127220</v>
      </c>
      <c r="E67" s="216"/>
      <c r="F67" s="151">
        <f>SUM(F5:F66)</f>
        <v>128042.6</v>
      </c>
    </row>
    <row r="68" spans="1:6" ht="14" thickTop="1">
      <c r="B68" s="171"/>
      <c r="C68" s="171"/>
      <c r="E68" s="171"/>
    </row>
    <row r="69" spans="1:6">
      <c r="B69" s="171"/>
      <c r="C69" s="171"/>
      <c r="E69" s="171"/>
    </row>
    <row r="70" spans="1:6">
      <c r="B70" s="171"/>
      <c r="C70" s="171"/>
      <c r="E70" s="171"/>
    </row>
    <row r="71" spans="1:6">
      <c r="B71" s="171"/>
      <c r="C71" s="171"/>
      <c r="E71" s="171"/>
    </row>
    <row r="72" spans="1:6">
      <c r="B72" s="171"/>
      <c r="C72" s="171"/>
      <c r="E72" s="171"/>
    </row>
    <row r="73" spans="1:6">
      <c r="B73" s="171"/>
      <c r="C73" s="171"/>
      <c r="E73" s="171"/>
    </row>
    <row r="74" spans="1:6">
      <c r="B74" s="171"/>
      <c r="C74" s="171"/>
      <c r="E74" s="171"/>
    </row>
    <row r="75" spans="1:6">
      <c r="B75" s="171"/>
      <c r="C75" s="171"/>
      <c r="E75" s="171"/>
    </row>
    <row r="76" spans="1:6">
      <c r="B76" s="171"/>
      <c r="C76" s="171"/>
      <c r="E76" s="171"/>
    </row>
    <row r="77" spans="1:6">
      <c r="B77" s="171"/>
      <c r="C77" s="171"/>
      <c r="E77" s="171"/>
    </row>
    <row r="78" spans="1:6">
      <c r="B78" s="171"/>
      <c r="C78" s="171"/>
      <c r="E78" s="171"/>
    </row>
    <row r="79" spans="1:6">
      <c r="B79" s="171"/>
      <c r="C79" s="171"/>
      <c r="E79" s="171"/>
    </row>
    <row r="80" spans="1:6">
      <c r="B80" s="171"/>
      <c r="C80" s="171"/>
      <c r="E80" s="171"/>
    </row>
    <row r="81" spans="2:5">
      <c r="B81" s="171"/>
      <c r="C81" s="171"/>
      <c r="E81" s="171"/>
    </row>
    <row r="82" spans="2:5">
      <c r="B82" s="171"/>
      <c r="C82" s="171"/>
      <c r="E82" s="171"/>
    </row>
    <row r="83" spans="2:5">
      <c r="B83" s="171"/>
      <c r="C83" s="171"/>
      <c r="E83" s="171"/>
    </row>
    <row r="84" spans="2:5">
      <c r="B84" s="171"/>
      <c r="C84" s="171"/>
      <c r="E84" s="171"/>
    </row>
    <row r="85" spans="2:5">
      <c r="B85" s="171"/>
      <c r="C85" s="171"/>
      <c r="E85" s="171"/>
    </row>
    <row r="86" spans="2:5">
      <c r="B86" s="171"/>
      <c r="C86" s="171"/>
      <c r="E86" s="171"/>
    </row>
    <row r="87" spans="2:5">
      <c r="B87" s="171"/>
      <c r="C87" s="171"/>
      <c r="E87" s="171"/>
    </row>
    <row r="88" spans="2:5">
      <c r="B88" s="171"/>
      <c r="C88" s="171"/>
      <c r="E88" s="171"/>
    </row>
    <row r="89" spans="2:5">
      <c r="B89" s="171"/>
      <c r="C89" s="171"/>
      <c r="E89" s="171"/>
    </row>
    <row r="90" spans="2:5">
      <c r="B90" s="171"/>
      <c r="C90" s="171"/>
      <c r="E90" s="171"/>
    </row>
    <row r="91" spans="2:5">
      <c r="B91" s="171"/>
      <c r="C91" s="171"/>
      <c r="E91" s="171"/>
    </row>
    <row r="92" spans="2:5">
      <c r="B92" s="171"/>
      <c r="C92" s="171"/>
      <c r="E92" s="171"/>
    </row>
    <row r="93" spans="2:5">
      <c r="B93" s="171"/>
      <c r="C93" s="171"/>
      <c r="E93" s="171"/>
    </row>
    <row r="94" spans="2:5">
      <c r="B94" s="171"/>
      <c r="C94" s="171"/>
      <c r="E94" s="171"/>
    </row>
    <row r="95" spans="2:5">
      <c r="B95" s="171"/>
      <c r="C95" s="171"/>
      <c r="E95" s="171"/>
    </row>
    <row r="96" spans="2:5">
      <c r="B96" s="171"/>
      <c r="C96" s="171"/>
      <c r="E96" s="171"/>
    </row>
    <row r="97" spans="2:5">
      <c r="B97" s="171"/>
      <c r="C97" s="171"/>
      <c r="E97" s="171"/>
    </row>
    <row r="98" spans="2:5">
      <c r="B98" s="171"/>
      <c r="C98" s="171"/>
      <c r="E98" s="171"/>
    </row>
    <row r="99" spans="2:5">
      <c r="B99" s="171"/>
      <c r="C99" s="171"/>
      <c r="E99" s="171"/>
    </row>
    <row r="100" spans="2:5">
      <c r="B100" s="171"/>
      <c r="C100" s="171"/>
      <c r="E100" s="171"/>
    </row>
    <row r="101" spans="2:5">
      <c r="B101" s="171"/>
      <c r="C101" s="171"/>
      <c r="E101" s="171"/>
    </row>
    <row r="102" spans="2:5">
      <c r="B102" s="171"/>
      <c r="C102" s="171"/>
      <c r="E102" s="171"/>
    </row>
    <row r="103" spans="2:5">
      <c r="B103" s="171"/>
      <c r="C103" s="171"/>
      <c r="E103" s="171"/>
    </row>
    <row r="104" spans="2:5">
      <c r="B104" s="171"/>
      <c r="C104" s="171"/>
      <c r="E104" s="171"/>
    </row>
    <row r="105" spans="2:5">
      <c r="B105" s="171"/>
      <c r="C105" s="171"/>
      <c r="E105" s="171"/>
    </row>
    <row r="106" spans="2:5">
      <c r="B106" s="171"/>
      <c r="C106" s="171"/>
      <c r="E106" s="171"/>
    </row>
    <row r="107" spans="2:5">
      <c r="B107" s="171"/>
      <c r="C107" s="171"/>
      <c r="E107" s="171"/>
    </row>
    <row r="108" spans="2:5">
      <c r="B108" s="171"/>
      <c r="C108" s="171"/>
      <c r="E108" s="171"/>
    </row>
    <row r="109" spans="2:5">
      <c r="B109" s="171"/>
      <c r="C109" s="171"/>
      <c r="E109" s="171"/>
    </row>
    <row r="110" spans="2:5">
      <c r="B110" s="171"/>
      <c r="C110" s="171"/>
      <c r="E110" s="171"/>
    </row>
    <row r="111" spans="2:5">
      <c r="B111" s="171"/>
      <c r="C111" s="171"/>
      <c r="E111" s="171"/>
    </row>
    <row r="112" spans="2:5">
      <c r="B112" s="171"/>
      <c r="C112" s="171"/>
      <c r="E112" s="171"/>
    </row>
    <row r="113" spans="2:5">
      <c r="B113" s="171"/>
      <c r="C113" s="171"/>
      <c r="E113" s="171"/>
    </row>
    <row r="114" spans="2:5">
      <c r="B114" s="171"/>
      <c r="C114" s="171"/>
      <c r="E114" s="171"/>
    </row>
    <row r="115" spans="2:5">
      <c r="B115" s="171"/>
      <c r="C115" s="171"/>
      <c r="E115" s="171"/>
    </row>
    <row r="116" spans="2:5">
      <c r="B116" s="171"/>
      <c r="C116" s="171"/>
      <c r="E116" s="171"/>
    </row>
    <row r="117" spans="2:5">
      <c r="B117" s="171"/>
      <c r="C117" s="171"/>
      <c r="E117" s="171"/>
    </row>
    <row r="118" spans="2:5">
      <c r="B118" s="171"/>
      <c r="C118" s="171"/>
      <c r="E118" s="171"/>
    </row>
    <row r="119" spans="2:5">
      <c r="B119" s="171"/>
      <c r="C119" s="171"/>
      <c r="E119" s="171"/>
    </row>
    <row r="120" spans="2:5">
      <c r="B120" s="171"/>
      <c r="C120" s="171"/>
      <c r="E120" s="171"/>
    </row>
    <row r="121" spans="2:5">
      <c r="B121" s="171"/>
      <c r="C121" s="171"/>
      <c r="E121" s="171"/>
    </row>
    <row r="122" spans="2:5">
      <c r="B122" s="171"/>
      <c r="C122" s="171"/>
      <c r="E122" s="171"/>
    </row>
    <row r="123" spans="2:5">
      <c r="B123" s="171"/>
      <c r="C123" s="171"/>
      <c r="E123" s="171"/>
    </row>
    <row r="124" spans="2:5">
      <c r="B124" s="171"/>
      <c r="C124" s="171"/>
      <c r="E124" s="171"/>
    </row>
    <row r="125" spans="2:5">
      <c r="B125" s="171"/>
      <c r="C125" s="171"/>
      <c r="E125" s="171"/>
    </row>
    <row r="126" spans="2:5">
      <c r="B126" s="171"/>
      <c r="C126" s="171"/>
      <c r="E126" s="171"/>
    </row>
    <row r="127" spans="2:5">
      <c r="B127" s="171"/>
      <c r="C127" s="171"/>
      <c r="E127" s="171"/>
    </row>
    <row r="128" spans="2:5">
      <c r="B128" s="171"/>
      <c r="C128" s="171"/>
      <c r="E128" s="171"/>
    </row>
    <row r="129" spans="2:5">
      <c r="B129" s="171"/>
      <c r="C129" s="171"/>
      <c r="E129" s="171"/>
    </row>
    <row r="130" spans="2:5">
      <c r="B130" s="171"/>
      <c r="C130" s="171"/>
      <c r="E130" s="171"/>
    </row>
    <row r="131" spans="2:5">
      <c r="B131" s="171"/>
      <c r="C131" s="171"/>
      <c r="E131" s="171"/>
    </row>
    <row r="132" spans="2:5">
      <c r="B132" s="171"/>
      <c r="C132" s="171"/>
      <c r="E132" s="171"/>
    </row>
    <row r="133" spans="2:5">
      <c r="B133" s="171"/>
      <c r="C133" s="171"/>
      <c r="E133" s="171"/>
    </row>
    <row r="134" spans="2:5">
      <c r="B134" s="171"/>
      <c r="C134" s="171"/>
      <c r="E134" s="171"/>
    </row>
    <row r="135" spans="2:5">
      <c r="B135" s="171"/>
      <c r="C135" s="171"/>
      <c r="E135" s="171"/>
    </row>
    <row r="136" spans="2:5">
      <c r="B136" s="171"/>
      <c r="C136" s="171"/>
      <c r="E136" s="171"/>
    </row>
    <row r="137" spans="2:5">
      <c r="B137" s="171"/>
      <c r="C137" s="171"/>
      <c r="E137" s="171"/>
    </row>
  </sheetData>
  <pageMargins left="0.75" right="0.75" top="1" bottom="1" header="0.5" footer="0.5"/>
  <pageSetup scale="7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2"/>
  <sheetViews>
    <sheetView topLeftCell="A17" workbookViewId="0">
      <selection activeCell="E46" sqref="E46"/>
    </sheetView>
  </sheetViews>
  <sheetFormatPr baseColWidth="10" defaultColWidth="8.83203125" defaultRowHeight="12" x14ac:dyDescent="0"/>
  <cols>
    <col min="1" max="1" width="26.5" style="40" bestFit="1" customWidth="1"/>
    <col min="2" max="2" width="6.1640625" style="193" bestFit="1" customWidth="1"/>
    <col min="3" max="3" width="12.5" style="192" customWidth="1"/>
    <col min="4" max="4" width="3.6640625" style="192" customWidth="1"/>
    <col min="5" max="5" width="16.5" style="192" customWidth="1"/>
    <col min="6" max="16384" width="8.83203125" style="40"/>
  </cols>
  <sheetData>
    <row r="1" spans="1:6" ht="21">
      <c r="A1" s="215" t="s">
        <v>220</v>
      </c>
      <c r="B1" s="212"/>
      <c r="C1" s="173" t="s">
        <v>31</v>
      </c>
      <c r="D1" s="173"/>
      <c r="E1" s="173" t="s">
        <v>31</v>
      </c>
      <c r="F1" s="1"/>
    </row>
    <row r="2" spans="1:6" ht="13">
      <c r="A2" s="1"/>
      <c r="B2" s="212"/>
      <c r="C2" s="173" t="s">
        <v>30</v>
      </c>
      <c r="D2" s="173"/>
      <c r="E2" s="173" t="s">
        <v>305</v>
      </c>
      <c r="F2" s="1"/>
    </row>
    <row r="3" spans="1:6" ht="13">
      <c r="A3" s="1"/>
      <c r="B3" s="188" t="s">
        <v>29</v>
      </c>
      <c r="C3" s="173"/>
      <c r="D3" s="140"/>
      <c r="E3" s="173"/>
      <c r="F3" s="1"/>
    </row>
    <row r="4" spans="1:6" ht="13">
      <c r="A4" s="268" t="s">
        <v>219</v>
      </c>
      <c r="B4" s="268"/>
      <c r="C4" s="213"/>
      <c r="D4" s="214"/>
      <c r="E4" s="213"/>
      <c r="F4" s="1"/>
    </row>
    <row r="5" spans="1:6" ht="13">
      <c r="A5" s="1"/>
      <c r="B5" s="212"/>
      <c r="C5" s="140"/>
      <c r="D5" s="140"/>
      <c r="E5" s="140"/>
      <c r="F5" s="1"/>
    </row>
    <row r="6" spans="1:6" ht="13">
      <c r="A6" s="1"/>
      <c r="B6" s="212"/>
      <c r="C6" s="140"/>
      <c r="D6" s="140"/>
      <c r="E6" s="140"/>
      <c r="F6" s="1"/>
    </row>
    <row r="7" spans="1:6" ht="13">
      <c r="A7" s="4" t="s">
        <v>28</v>
      </c>
      <c r="B7" s="162"/>
      <c r="C7" s="140"/>
      <c r="D7" s="140"/>
      <c r="E7" s="140"/>
      <c r="F7" s="1"/>
    </row>
    <row r="8" spans="1:6" ht="13">
      <c r="A8" s="203" t="s">
        <v>218</v>
      </c>
      <c r="B8" s="202"/>
      <c r="C8" s="140">
        <v>2000</v>
      </c>
      <c r="D8" s="140"/>
      <c r="E8" s="140">
        <v>1000</v>
      </c>
      <c r="F8" s="1"/>
    </row>
    <row r="9" spans="1:6" ht="13">
      <c r="A9" s="203" t="s">
        <v>122</v>
      </c>
      <c r="B9" s="202"/>
      <c r="C9" s="140">
        <v>3000</v>
      </c>
      <c r="D9" s="140"/>
      <c r="E9" s="140">
        <v>1000</v>
      </c>
      <c r="F9" s="1"/>
    </row>
    <row r="10" spans="1:6" ht="13">
      <c r="A10" s="198" t="s">
        <v>26</v>
      </c>
      <c r="B10" s="210"/>
      <c r="C10" s="160">
        <f>SUM(C8:C9)</f>
        <v>5000</v>
      </c>
      <c r="D10" s="140"/>
      <c r="E10" s="160">
        <f>E8+E9</f>
        <v>2000</v>
      </c>
      <c r="F10" s="1"/>
    </row>
    <row r="11" spans="1:6" ht="13">
      <c r="A11" s="198"/>
      <c r="B11" s="210"/>
      <c r="C11" s="140"/>
      <c r="D11" s="140"/>
      <c r="E11" s="140"/>
      <c r="F11" s="1"/>
    </row>
    <row r="12" spans="1:6" ht="13">
      <c r="A12" s="198" t="s">
        <v>25</v>
      </c>
      <c r="B12" s="211"/>
      <c r="C12" s="140"/>
      <c r="D12" s="140"/>
      <c r="E12" s="140"/>
      <c r="F12" s="1"/>
    </row>
    <row r="13" spans="1:6" ht="13">
      <c r="A13" s="203" t="s">
        <v>217</v>
      </c>
      <c r="B13" s="202"/>
      <c r="C13" s="140">
        <v>600</v>
      </c>
      <c r="D13" s="140"/>
      <c r="E13" s="140"/>
      <c r="F13" s="1"/>
    </row>
    <row r="14" spans="1:6" ht="13">
      <c r="A14" s="203" t="s">
        <v>116</v>
      </c>
      <c r="B14" s="202"/>
      <c r="C14" s="140">
        <v>500</v>
      </c>
      <c r="D14" s="140"/>
      <c r="E14" s="140">
        <v>500</v>
      </c>
      <c r="F14" s="1"/>
    </row>
    <row r="15" spans="1:6" ht="13">
      <c r="A15" s="203" t="s">
        <v>199</v>
      </c>
      <c r="B15" s="202"/>
      <c r="C15" s="140">
        <v>600</v>
      </c>
      <c r="D15" s="140"/>
      <c r="E15" s="140">
        <v>200</v>
      </c>
      <c r="F15" s="1"/>
    </row>
    <row r="16" spans="1:6" ht="13">
      <c r="A16" s="203" t="s">
        <v>216</v>
      </c>
      <c r="B16" s="202"/>
      <c r="C16" s="140">
        <v>800</v>
      </c>
      <c r="D16" s="140"/>
      <c r="E16" s="140">
        <v>800</v>
      </c>
      <c r="F16" s="1"/>
    </row>
    <row r="17" spans="1:6" ht="13">
      <c r="A17" s="203" t="s">
        <v>315</v>
      </c>
      <c r="B17" s="202"/>
      <c r="C17" s="140">
        <v>1041</v>
      </c>
      <c r="D17" s="140"/>
      <c r="E17" s="140">
        <v>1500</v>
      </c>
      <c r="F17" s="1"/>
    </row>
    <row r="18" spans="1:6" ht="13">
      <c r="A18" s="203" t="s">
        <v>208</v>
      </c>
      <c r="B18" s="202"/>
      <c r="C18" s="140">
        <v>3083</v>
      </c>
      <c r="D18" s="140"/>
      <c r="E18" s="140">
        <v>3083</v>
      </c>
      <c r="F18" s="1"/>
    </row>
    <row r="19" spans="1:6" ht="13">
      <c r="A19" s="203" t="s">
        <v>215</v>
      </c>
      <c r="B19" s="202"/>
      <c r="C19" s="140">
        <v>300</v>
      </c>
      <c r="D19" s="140"/>
      <c r="E19" s="140">
        <v>800</v>
      </c>
      <c r="F19" s="1"/>
    </row>
    <row r="20" spans="1:6" ht="13">
      <c r="A20" s="203" t="s">
        <v>159</v>
      </c>
      <c r="B20" s="202"/>
      <c r="C20" s="140">
        <v>500</v>
      </c>
      <c r="D20" s="140"/>
      <c r="E20" s="140">
        <v>500</v>
      </c>
      <c r="F20" s="1"/>
    </row>
    <row r="21" spans="1:6" ht="13">
      <c r="A21" s="203" t="s">
        <v>214</v>
      </c>
      <c r="B21" s="202"/>
      <c r="C21" s="140">
        <v>1800</v>
      </c>
      <c r="D21" s="140"/>
      <c r="E21" s="140">
        <f>1600*1.03</f>
        <v>1648</v>
      </c>
      <c r="F21" s="1"/>
    </row>
    <row r="22" spans="1:6" ht="13">
      <c r="A22" s="203" t="s">
        <v>213</v>
      </c>
      <c r="B22" s="202"/>
      <c r="C22" s="140">
        <v>800</v>
      </c>
      <c r="D22" s="140"/>
      <c r="E22" s="140">
        <f>400*1.03</f>
        <v>412</v>
      </c>
      <c r="F22" s="1"/>
    </row>
    <row r="23" spans="1:6" ht="13">
      <c r="A23" s="203" t="s">
        <v>212</v>
      </c>
      <c r="B23" s="202"/>
      <c r="C23" s="140">
        <v>500</v>
      </c>
      <c r="D23" s="140"/>
      <c r="E23" s="140">
        <f>C23*1.03</f>
        <v>515</v>
      </c>
      <c r="F23" s="1"/>
    </row>
    <row r="24" spans="1:6" ht="13">
      <c r="A24" s="203" t="s">
        <v>205</v>
      </c>
      <c r="B24" s="202"/>
      <c r="C24" s="140">
        <v>3500</v>
      </c>
      <c r="D24" s="140"/>
      <c r="E24" s="140">
        <f>C24*1.03</f>
        <v>3605</v>
      </c>
      <c r="F24" s="1"/>
    </row>
    <row r="25" spans="1:6" ht="13">
      <c r="A25" s="198" t="s">
        <v>14</v>
      </c>
      <c r="B25" s="188"/>
      <c r="C25" s="160">
        <f>SUM(C13:C24)</f>
        <v>14024</v>
      </c>
      <c r="D25" s="140"/>
      <c r="E25" s="160">
        <f>SUM(E13:E24)</f>
        <v>13563</v>
      </c>
      <c r="F25" s="1"/>
    </row>
    <row r="26" spans="1:6" ht="13">
      <c r="A26" s="198"/>
      <c r="B26" s="211"/>
      <c r="C26" s="140"/>
      <c r="D26" s="140"/>
      <c r="E26" s="140"/>
      <c r="F26" s="1"/>
    </row>
    <row r="27" spans="1:6" ht="14" thickBot="1">
      <c r="A27" s="198" t="s">
        <v>338</v>
      </c>
      <c r="B27" s="210"/>
      <c r="C27" s="151">
        <f>C10-C25</f>
        <v>-9024</v>
      </c>
      <c r="D27" s="140"/>
      <c r="E27" s="151">
        <f>E10-E25</f>
        <v>-11563</v>
      </c>
      <c r="F27" s="1"/>
    </row>
    <row r="28" spans="1:6" ht="14" thickTop="1">
      <c r="A28" s="203"/>
      <c r="B28" s="162"/>
      <c r="C28" s="140"/>
      <c r="D28" s="140"/>
      <c r="E28" s="140"/>
      <c r="F28" s="1"/>
    </row>
    <row r="29" spans="1:6" ht="13">
      <c r="A29" s="209" t="s">
        <v>211</v>
      </c>
      <c r="B29" s="208"/>
      <c r="C29" s="207"/>
      <c r="D29" s="207"/>
      <c r="E29" s="207"/>
      <c r="F29" s="1"/>
    </row>
    <row r="30" spans="1:6" ht="13">
      <c r="A30" s="203"/>
      <c r="B30" s="162"/>
    </row>
    <row r="31" spans="1:6" ht="13">
      <c r="A31" s="203"/>
      <c r="B31" s="162"/>
    </row>
    <row r="32" spans="1:6" ht="13">
      <c r="A32" s="198" t="s">
        <v>80</v>
      </c>
      <c r="B32" s="162"/>
    </row>
    <row r="33" spans="1:5" ht="13">
      <c r="A33" s="203" t="s">
        <v>210</v>
      </c>
      <c r="B33" s="188"/>
      <c r="C33" s="192">
        <v>2000</v>
      </c>
      <c r="E33" s="192">
        <v>2000</v>
      </c>
    </row>
    <row r="34" spans="1:5" ht="16">
      <c r="A34" s="203" t="s">
        <v>122</v>
      </c>
      <c r="B34" s="206"/>
      <c r="C34" s="192">
        <v>8000</v>
      </c>
      <c r="E34" s="192">
        <v>3000</v>
      </c>
    </row>
    <row r="35" spans="1:5" ht="16">
      <c r="A35" s="203" t="s">
        <v>209</v>
      </c>
      <c r="B35" s="206"/>
      <c r="C35" s="192">
        <v>2000</v>
      </c>
    </row>
    <row r="36" spans="1:5" ht="13">
      <c r="A36" s="198" t="s">
        <v>77</v>
      </c>
      <c r="B36" s="161"/>
      <c r="C36" s="154">
        <f>SUM(C33:C35)</f>
        <v>12000</v>
      </c>
      <c r="E36" s="154">
        <f>SUM(E33:E35)</f>
        <v>5000</v>
      </c>
    </row>
    <row r="37" spans="1:5" ht="13">
      <c r="A37" s="198"/>
      <c r="B37" s="202"/>
    </row>
    <row r="38" spans="1:5" ht="13">
      <c r="A38" s="198" t="s">
        <v>25</v>
      </c>
      <c r="B38" s="162"/>
    </row>
    <row r="39" spans="1:5" ht="13">
      <c r="A39" s="203" t="s">
        <v>159</v>
      </c>
      <c r="B39" s="202"/>
      <c r="C39" s="204">
        <v>2500</v>
      </c>
      <c r="E39" s="204">
        <v>2500</v>
      </c>
    </row>
    <row r="40" spans="1:5" ht="13">
      <c r="A40" s="203" t="s">
        <v>196</v>
      </c>
      <c r="B40" s="202"/>
      <c r="C40" s="204">
        <v>1500</v>
      </c>
      <c r="E40" s="204">
        <v>500</v>
      </c>
    </row>
    <row r="41" spans="1:5" ht="13">
      <c r="A41" s="203" t="s">
        <v>208</v>
      </c>
      <c r="B41" s="202"/>
      <c r="C41" s="204">
        <v>392</v>
      </c>
      <c r="E41" s="204">
        <v>392</v>
      </c>
    </row>
    <row r="42" spans="1:5" ht="13">
      <c r="A42" s="203" t="s">
        <v>207</v>
      </c>
      <c r="B42" s="202"/>
      <c r="C42" s="204">
        <v>2000</v>
      </c>
      <c r="E42" s="204">
        <v>2000</v>
      </c>
    </row>
    <row r="43" spans="1:5" ht="13">
      <c r="A43" s="203" t="s">
        <v>199</v>
      </c>
      <c r="B43" s="202"/>
      <c r="C43" s="204">
        <v>500</v>
      </c>
      <c r="E43" s="204">
        <v>200</v>
      </c>
    </row>
    <row r="44" spans="1:5" ht="13">
      <c r="A44" s="203" t="s">
        <v>174</v>
      </c>
      <c r="B44" s="202"/>
      <c r="C44" s="205">
        <f>793.71*10</f>
        <v>7937.1</v>
      </c>
      <c r="E44" s="205">
        <f>793.71*15</f>
        <v>11905.650000000001</v>
      </c>
    </row>
    <row r="45" spans="1:5" ht="13">
      <c r="A45" s="203" t="s">
        <v>206</v>
      </c>
      <c r="B45" s="202"/>
      <c r="C45" s="204">
        <v>3200</v>
      </c>
      <c r="E45" s="204">
        <v>3295</v>
      </c>
    </row>
    <row r="46" spans="1:5" ht="13">
      <c r="A46" s="203" t="s">
        <v>205</v>
      </c>
      <c r="B46" s="202"/>
      <c r="C46" s="201">
        <v>6600</v>
      </c>
      <c r="E46" s="201">
        <v>4635</v>
      </c>
    </row>
    <row r="47" spans="1:5" ht="13">
      <c r="A47" s="198" t="s">
        <v>104</v>
      </c>
      <c r="B47" s="188"/>
      <c r="C47" s="134">
        <v>26532</v>
      </c>
      <c r="E47" s="134">
        <f>SUM(E39:E46)</f>
        <v>25427.65</v>
      </c>
    </row>
    <row r="48" spans="1:5" ht="16">
      <c r="A48" s="198"/>
      <c r="B48" s="200"/>
    </row>
    <row r="49" spans="1:5" ht="14" thickBot="1">
      <c r="A49" s="198" t="s">
        <v>340</v>
      </c>
      <c r="B49" s="162"/>
      <c r="C49" s="130">
        <v>-14532</v>
      </c>
      <c r="D49" s="157"/>
      <c r="E49" s="130">
        <f>E36-E47</f>
        <v>-20427.650000000001</v>
      </c>
    </row>
    <row r="50" spans="1:5" ht="14" thickTop="1">
      <c r="A50" s="198"/>
      <c r="C50" s="199"/>
      <c r="E50" s="199"/>
    </row>
    <row r="51" spans="1:5" ht="13">
      <c r="A51" s="198" t="s">
        <v>204</v>
      </c>
      <c r="C51" s="199">
        <v>4000</v>
      </c>
      <c r="E51" s="199">
        <v>4000</v>
      </c>
    </row>
    <row r="52" spans="1:5" ht="13">
      <c r="A52" s="198"/>
      <c r="C52" s="199"/>
      <c r="E52" s="199"/>
    </row>
    <row r="53" spans="1:5" ht="14" thickBot="1">
      <c r="A53" s="198" t="s">
        <v>340</v>
      </c>
      <c r="C53" s="130">
        <v>-18532</v>
      </c>
      <c r="E53" s="130">
        <f>E49-E51</f>
        <v>-24427.65</v>
      </c>
    </row>
    <row r="54" spans="1:5" ht="14" thickTop="1">
      <c r="A54" s="197"/>
      <c r="B54" s="162"/>
    </row>
    <row r="55" spans="1:5">
      <c r="A55" s="196" t="s">
        <v>29</v>
      </c>
      <c r="B55" s="196"/>
      <c r="C55" s="195"/>
      <c r="D55" s="195"/>
      <c r="E55" s="195"/>
    </row>
    <row r="56" spans="1:5">
      <c r="B56" s="186"/>
    </row>
    <row r="57" spans="1:5">
      <c r="A57" s="39"/>
      <c r="B57" s="99"/>
      <c r="C57" s="15"/>
      <c r="D57" s="15"/>
      <c r="E57" s="15"/>
    </row>
    <row r="58" spans="1:5">
      <c r="A58" s="41"/>
      <c r="B58" s="15"/>
      <c r="C58" s="15"/>
      <c r="D58" s="15"/>
      <c r="E58" s="15"/>
    </row>
    <row r="59" spans="1:5">
      <c r="A59" s="41"/>
      <c r="B59" s="15"/>
      <c r="C59" s="15"/>
      <c r="D59" s="15"/>
      <c r="E59" s="15"/>
    </row>
    <row r="60" spans="1:5">
      <c r="A60" s="41"/>
      <c r="B60" s="15"/>
      <c r="C60" s="15"/>
      <c r="D60" s="15"/>
      <c r="E60" s="15"/>
    </row>
    <row r="61" spans="1:5">
      <c r="A61" s="194"/>
      <c r="B61" s="15"/>
      <c r="C61" s="15"/>
      <c r="D61" s="15"/>
      <c r="E61" s="15"/>
    </row>
    <row r="62" spans="1:5">
      <c r="A62" s="39"/>
      <c r="B62" s="96"/>
      <c r="C62" s="15"/>
      <c r="D62" s="15"/>
      <c r="E62" s="15"/>
    </row>
  </sheetData>
  <mergeCells count="1">
    <mergeCell ref="A4:B4"/>
  </mergeCells>
  <pageMargins left="0.26" right="0.16" top="0.47" bottom="0.5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5"/>
  <sheetViews>
    <sheetView zoomScale="140" zoomScaleNormal="140" zoomScalePageLayoutView="140" workbookViewId="0">
      <selection activeCell="C6" sqref="C6"/>
    </sheetView>
  </sheetViews>
  <sheetFormatPr baseColWidth="10" defaultColWidth="8.83203125" defaultRowHeight="13" x14ac:dyDescent="0"/>
  <cols>
    <col min="1" max="1" width="7.1640625" style="1" bestFit="1" customWidth="1"/>
    <col min="2" max="2" width="35.33203125" style="1" customWidth="1"/>
    <col min="3" max="3" width="20.83203125" style="2" bestFit="1" customWidth="1"/>
    <col min="4" max="4" width="17.5" style="1" customWidth="1"/>
    <col min="5" max="6" width="12.6640625" style="1" customWidth="1"/>
    <col min="7" max="7" width="11.5" style="1" bestFit="1" customWidth="1"/>
    <col min="8" max="8" width="15.1640625" style="1" customWidth="1"/>
    <col min="9" max="9" width="8.83203125" style="1"/>
    <col min="10" max="10" width="11.33203125" style="1" customWidth="1"/>
    <col min="11" max="16384" width="8.83203125" style="1"/>
  </cols>
  <sheetData>
    <row r="1" spans="2:5">
      <c r="B1" s="266" t="s">
        <v>0</v>
      </c>
      <c r="C1" s="266"/>
    </row>
    <row r="2" spans="2:5">
      <c r="B2" s="266" t="s">
        <v>325</v>
      </c>
      <c r="C2" s="266"/>
    </row>
    <row r="5" spans="2:5">
      <c r="B5" s="4" t="s">
        <v>1</v>
      </c>
      <c r="C5" s="5">
        <v>146.12</v>
      </c>
    </row>
    <row r="6" spans="2:5">
      <c r="B6" s="4" t="s">
        <v>324</v>
      </c>
      <c r="C6" s="5"/>
    </row>
    <row r="7" spans="2:5">
      <c r="B7" s="9" t="s">
        <v>2</v>
      </c>
      <c r="C7" s="5">
        <v>0</v>
      </c>
    </row>
    <row r="8" spans="2:5">
      <c r="B8" s="9" t="s">
        <v>3</v>
      </c>
      <c r="C8" s="5">
        <f>C5*C7</f>
        <v>0</v>
      </c>
    </row>
    <row r="9" spans="2:5">
      <c r="B9" s="4" t="s">
        <v>4</v>
      </c>
      <c r="C9" s="5">
        <f>C5+C8</f>
        <v>146.12</v>
      </c>
    </row>
    <row r="10" spans="2:5">
      <c r="C10" s="5"/>
    </row>
    <row r="12" spans="2:5">
      <c r="C12" s="2" t="s">
        <v>5</v>
      </c>
    </row>
    <row r="13" spans="2:5">
      <c r="B13" s="4" t="s">
        <v>318</v>
      </c>
      <c r="C13" s="10">
        <v>4000</v>
      </c>
      <c r="E13" s="8"/>
    </row>
    <row r="15" spans="2:5">
      <c r="B15" s="9" t="s">
        <v>6</v>
      </c>
      <c r="C15" s="5">
        <v>25</v>
      </c>
    </row>
    <row r="16" spans="2:5">
      <c r="B16" s="9" t="s">
        <v>7</v>
      </c>
      <c r="C16" s="5">
        <f>C13*C15</f>
        <v>100000</v>
      </c>
    </row>
    <row r="18" spans="1:5">
      <c r="B18" s="4" t="s">
        <v>8</v>
      </c>
      <c r="C18" s="5">
        <f>C9*C13</f>
        <v>584480</v>
      </c>
      <c r="E18" s="8"/>
    </row>
    <row r="19" spans="1:5">
      <c r="C19" s="5"/>
      <c r="E19" s="8"/>
    </row>
    <row r="20" spans="1:5">
      <c r="C20" s="3"/>
    </row>
    <row r="21" spans="1:5">
      <c r="A21" s="7"/>
      <c r="B21" s="1" t="s">
        <v>9</v>
      </c>
      <c r="C21" s="5">
        <f>C18</f>
        <v>584480</v>
      </c>
    </row>
    <row r="22" spans="1:5">
      <c r="A22" s="6">
        <v>4</v>
      </c>
      <c r="B22" s="1" t="s">
        <v>10</v>
      </c>
      <c r="C22" s="5">
        <f>A22*C13</f>
        <v>16000</v>
      </c>
    </row>
    <row r="23" spans="1:5">
      <c r="A23" s="6">
        <v>7</v>
      </c>
      <c r="B23" s="1" t="s">
        <v>11</v>
      </c>
      <c r="C23" s="5">
        <f>A23*C13</f>
        <v>28000</v>
      </c>
    </row>
    <row r="24" spans="1:5">
      <c r="A24" s="6"/>
      <c r="C24" s="5"/>
    </row>
    <row r="25" spans="1:5">
      <c r="B25" s="4" t="s">
        <v>12</v>
      </c>
      <c r="C25" s="3">
        <f>C21-SUM(C22:C23)</f>
        <v>540480</v>
      </c>
    </row>
  </sheetData>
  <mergeCells count="2">
    <mergeCell ref="B1:C1"/>
    <mergeCell ref="B2:C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5"/>
  <sheetViews>
    <sheetView zoomScale="110" zoomScaleNormal="110" zoomScalePageLayoutView="110" workbookViewId="0">
      <selection activeCell="G44" sqref="G44"/>
    </sheetView>
  </sheetViews>
  <sheetFormatPr baseColWidth="10" defaultColWidth="8.83203125" defaultRowHeight="12" x14ac:dyDescent="0"/>
  <cols>
    <col min="1" max="1" width="8.33203125" style="12" bestFit="1" customWidth="1"/>
    <col min="2" max="2" width="27.5" style="11" bestFit="1" customWidth="1"/>
    <col min="3" max="3" width="7.5" style="11" bestFit="1" customWidth="1"/>
    <col min="4" max="4" width="3.6640625" style="11" customWidth="1"/>
    <col min="5" max="5" width="18.83203125" style="11" customWidth="1"/>
    <col min="6" max="6" width="9.5" style="11" customWidth="1"/>
    <col min="7" max="7" width="18.6640625" style="11" bestFit="1" customWidth="1"/>
    <col min="8" max="16384" width="8.83203125" style="11"/>
  </cols>
  <sheetData>
    <row r="1" spans="1:5">
      <c r="A1" s="267" t="s">
        <v>326</v>
      </c>
      <c r="B1" s="267"/>
      <c r="C1" s="267"/>
      <c r="D1" s="267"/>
    </row>
    <row r="2" spans="1:5">
      <c r="A2" s="38"/>
      <c r="B2" s="35"/>
      <c r="C2" s="35"/>
      <c r="D2" s="35"/>
    </row>
    <row r="3" spans="1:5">
      <c r="A3" s="38"/>
      <c r="B3" s="37" t="s">
        <v>32</v>
      </c>
      <c r="D3" s="35"/>
      <c r="E3" s="35" t="s">
        <v>31</v>
      </c>
    </row>
    <row r="4" spans="1:5">
      <c r="A4" s="36"/>
      <c r="B4" s="18"/>
      <c r="D4" s="18"/>
      <c r="E4" s="35" t="s">
        <v>305</v>
      </c>
    </row>
    <row r="5" spans="1:5">
      <c r="A5" s="36"/>
      <c r="C5" s="11" t="s">
        <v>29</v>
      </c>
      <c r="D5" s="18"/>
    </row>
    <row r="6" spans="1:5">
      <c r="B6" s="31" t="s">
        <v>28</v>
      </c>
      <c r="C6" s="30"/>
      <c r="D6" s="30"/>
      <c r="E6" s="34"/>
    </row>
    <row r="7" spans="1:5">
      <c r="A7" s="27" t="s">
        <v>24</v>
      </c>
      <c r="B7" s="18" t="s">
        <v>23</v>
      </c>
      <c r="D7" s="15"/>
      <c r="E7" s="15">
        <f>'General Operations'!D16</f>
        <v>1111840</v>
      </c>
    </row>
    <row r="8" spans="1:5">
      <c r="A8" s="27">
        <v>1000</v>
      </c>
      <c r="B8" s="18" t="s">
        <v>22</v>
      </c>
      <c r="D8" s="15"/>
      <c r="E8" s="19">
        <f>'Activities &amp; Events'!D103</f>
        <v>219000</v>
      </c>
    </row>
    <row r="9" spans="1:5">
      <c r="A9" s="12">
        <v>2000</v>
      </c>
      <c r="B9" s="18" t="s">
        <v>21</v>
      </c>
      <c r="D9" s="15"/>
      <c r="E9" s="19">
        <f>Communications!D11</f>
        <v>8250</v>
      </c>
    </row>
    <row r="10" spans="1:5">
      <c r="A10" s="12">
        <v>3000</v>
      </c>
      <c r="B10" s="18" t="s">
        <v>20</v>
      </c>
      <c r="D10" s="15"/>
      <c r="E10" s="19">
        <f>'Union Services'!D46</f>
        <v>8760</v>
      </c>
    </row>
    <row r="11" spans="1:5">
      <c r="A11" s="12">
        <v>4000</v>
      </c>
      <c r="B11" s="18" t="s">
        <v>19</v>
      </c>
      <c r="D11" s="15"/>
      <c r="E11" s="19">
        <v>0</v>
      </c>
    </row>
    <row r="12" spans="1:5">
      <c r="A12" s="12">
        <v>5000</v>
      </c>
      <c r="B12" s="18" t="s">
        <v>27</v>
      </c>
      <c r="D12" s="15"/>
      <c r="E12" s="19">
        <v>0</v>
      </c>
    </row>
    <row r="13" spans="1:5">
      <c r="A13" s="12">
        <v>7000</v>
      </c>
      <c r="B13" s="18" t="s">
        <v>17</v>
      </c>
      <c r="D13" s="15"/>
      <c r="E13" s="19">
        <f>'Student Relations'!D27</f>
        <v>0</v>
      </c>
    </row>
    <row r="14" spans="1:5">
      <c r="A14" s="12">
        <v>8000</v>
      </c>
      <c r="B14" s="18" t="s">
        <v>16</v>
      </c>
      <c r="D14" s="15"/>
      <c r="E14" s="19">
        <f>Finance!D23</f>
        <v>5500</v>
      </c>
    </row>
    <row r="15" spans="1:5">
      <c r="A15" s="12">
        <v>8100</v>
      </c>
      <c r="B15" s="18" t="s">
        <v>15</v>
      </c>
      <c r="D15" s="20"/>
      <c r="E15" s="23">
        <f>DriveU!D8</f>
        <v>6500</v>
      </c>
    </row>
    <row r="16" spans="1:5">
      <c r="A16" s="96">
        <v>6000</v>
      </c>
      <c r="B16" s="245" t="s">
        <v>288</v>
      </c>
      <c r="D16" s="246"/>
      <c r="E16" s="246">
        <f>'Golden X Inn'!D12</f>
        <v>428250</v>
      </c>
    </row>
    <row r="17" spans="1:5">
      <c r="A17" s="96">
        <v>6500</v>
      </c>
      <c r="B17" s="245" t="s">
        <v>304</v>
      </c>
      <c r="D17" s="246"/>
      <c r="E17" s="246">
        <f>'Info Desk- Acadian Lines'!D9</f>
        <v>62500</v>
      </c>
    </row>
    <row r="18" spans="1:5">
      <c r="A18" s="12">
        <v>9000</v>
      </c>
      <c r="B18" s="245" t="s">
        <v>293</v>
      </c>
      <c r="D18" s="246"/>
      <c r="E18" s="247">
        <f>'Clothing Store'!D5</f>
        <v>190000</v>
      </c>
    </row>
    <row r="19" spans="1:5">
      <c r="D19" s="15"/>
      <c r="E19" s="15"/>
    </row>
    <row r="20" spans="1:5">
      <c r="B20" s="18" t="s">
        <v>26</v>
      </c>
      <c r="D20" s="32"/>
      <c r="E20" s="22">
        <f>SUM(E7:E19)</f>
        <v>2040600</v>
      </c>
    </row>
    <row r="21" spans="1:5">
      <c r="D21" s="15"/>
      <c r="E21" s="15"/>
    </row>
    <row r="22" spans="1:5">
      <c r="B22" s="18"/>
      <c r="D22" s="15"/>
      <c r="E22" s="15"/>
    </row>
    <row r="23" spans="1:5">
      <c r="B23" s="18"/>
      <c r="D23" s="32"/>
      <c r="E23" s="15"/>
    </row>
    <row r="24" spans="1:5">
      <c r="B24" s="31" t="s">
        <v>25</v>
      </c>
      <c r="C24" s="30"/>
      <c r="D24" s="29"/>
      <c r="E24" s="28"/>
    </row>
    <row r="25" spans="1:5">
      <c r="A25" s="27" t="s">
        <v>24</v>
      </c>
      <c r="B25" s="24" t="s">
        <v>23</v>
      </c>
      <c r="D25" s="15"/>
      <c r="E25" s="15">
        <f>'General Operations'!D43</f>
        <v>883650</v>
      </c>
    </row>
    <row r="26" spans="1:5">
      <c r="A26" s="12">
        <v>1000</v>
      </c>
      <c r="B26" s="24" t="s">
        <v>22</v>
      </c>
      <c r="D26" s="15"/>
      <c r="E26" s="19">
        <f>'Activities &amp; Events'!D104</f>
        <v>218340.5</v>
      </c>
    </row>
    <row r="27" spans="1:5">
      <c r="A27" s="12">
        <v>2000</v>
      </c>
      <c r="B27" s="24" t="s">
        <v>21</v>
      </c>
      <c r="D27" s="15"/>
      <c r="E27" s="26">
        <f>Communications!D41</f>
        <v>66947.649999999994</v>
      </c>
    </row>
    <row r="28" spans="1:5">
      <c r="A28" s="12">
        <v>3000</v>
      </c>
      <c r="B28" s="24" t="s">
        <v>20</v>
      </c>
      <c r="D28" s="15"/>
      <c r="E28" s="19">
        <f>'Union Services'!D47</f>
        <v>21560</v>
      </c>
    </row>
    <row r="29" spans="1:5">
      <c r="A29" s="12">
        <v>4000</v>
      </c>
      <c r="B29" s="24" t="s">
        <v>19</v>
      </c>
      <c r="D29" s="15"/>
      <c r="E29" s="19">
        <f>'Elected Rep'!D26</f>
        <v>17995</v>
      </c>
    </row>
    <row r="30" spans="1:5">
      <c r="A30" s="12">
        <v>5000</v>
      </c>
      <c r="B30" s="24" t="s">
        <v>18</v>
      </c>
      <c r="D30" s="15"/>
      <c r="E30" s="19">
        <f>Executive!D38</f>
        <v>151396.29999999999</v>
      </c>
    </row>
    <row r="31" spans="1:5">
      <c r="A31" s="12">
        <v>7000</v>
      </c>
      <c r="B31" s="24" t="s">
        <v>17</v>
      </c>
      <c r="D31" s="15"/>
      <c r="E31" s="19">
        <f>'Student Relations'!D28</f>
        <v>28340.5</v>
      </c>
    </row>
    <row r="32" spans="1:5">
      <c r="A32" s="12">
        <v>8000</v>
      </c>
      <c r="B32" s="24" t="s">
        <v>16</v>
      </c>
      <c r="D32" s="15"/>
      <c r="E32" s="19">
        <f>Finance!D24</f>
        <v>15596.5</v>
      </c>
    </row>
    <row r="33" spans="1:6">
      <c r="A33" s="12">
        <v>8100</v>
      </c>
      <c r="B33" s="24" t="s">
        <v>15</v>
      </c>
      <c r="D33" s="20"/>
      <c r="E33" s="23">
        <f>DriveU!D19</f>
        <v>30466</v>
      </c>
    </row>
    <row r="34" spans="1:6">
      <c r="A34" s="96">
        <v>6000</v>
      </c>
      <c r="B34" s="244" t="s">
        <v>288</v>
      </c>
      <c r="D34" s="248"/>
      <c r="E34" s="248">
        <f>'Golden X Inn'!D43</f>
        <v>405605</v>
      </c>
    </row>
    <row r="35" spans="1:6">
      <c r="A35" s="96">
        <v>6500</v>
      </c>
      <c r="B35" s="244" t="s">
        <v>304</v>
      </c>
      <c r="D35" s="248"/>
      <c r="E35" s="248">
        <f>'Info Desk- Acadian Lines'!D20</f>
        <v>62100</v>
      </c>
    </row>
    <row r="36" spans="1:6">
      <c r="A36" s="96">
        <v>9000</v>
      </c>
      <c r="B36" s="244" t="s">
        <v>293</v>
      </c>
      <c r="D36" s="248"/>
      <c r="E36" s="249">
        <f>'Clothing Store'!D17</f>
        <v>144320</v>
      </c>
    </row>
    <row r="37" spans="1:6">
      <c r="B37" s="25"/>
      <c r="D37" s="20"/>
      <c r="E37" s="15"/>
    </row>
    <row r="38" spans="1:6">
      <c r="B38" s="24" t="s">
        <v>14</v>
      </c>
      <c r="D38" s="23"/>
      <c r="E38" s="22">
        <f>SUM(E25:E36)</f>
        <v>2046317.45</v>
      </c>
    </row>
    <row r="39" spans="1:6">
      <c r="B39" s="21"/>
      <c r="D39" s="20"/>
      <c r="E39" s="15"/>
    </row>
    <row r="40" spans="1:6" ht="13" thickBot="1">
      <c r="B40" s="18" t="s">
        <v>339</v>
      </c>
      <c r="D40" s="17"/>
      <c r="E40" s="16">
        <f>E20-E38</f>
        <v>-5717.4499999999534</v>
      </c>
    </row>
    <row r="41" spans="1:6" ht="13" thickTop="1">
      <c r="D41" s="15"/>
      <c r="E41" s="15"/>
    </row>
    <row r="42" spans="1:6">
      <c r="D42" s="14"/>
      <c r="E42" s="14"/>
    </row>
    <row r="43" spans="1:6">
      <c r="E43" s="74"/>
    </row>
    <row r="44" spans="1:6">
      <c r="D44" s="13"/>
      <c r="E44" s="74"/>
      <c r="F44" s="13"/>
    </row>
    <row r="45" spans="1:6">
      <c r="E45" s="74"/>
      <c r="F45" s="13"/>
    </row>
  </sheetData>
  <mergeCells count="1">
    <mergeCell ref="A1:D1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55"/>
  <sheetViews>
    <sheetView tabSelected="1" zoomScale="110" zoomScaleNormal="110" zoomScalePageLayoutView="110" workbookViewId="0">
      <selection activeCell="J44" sqref="J44"/>
    </sheetView>
  </sheetViews>
  <sheetFormatPr baseColWidth="10" defaultColWidth="8.83203125" defaultRowHeight="12" x14ac:dyDescent="0"/>
  <cols>
    <col min="1" max="1" width="5.1640625" style="39" bestFit="1" customWidth="1"/>
    <col min="2" max="2" width="32.83203125" style="39" customWidth="1"/>
    <col min="3" max="3" width="6" style="39" bestFit="1" customWidth="1"/>
    <col min="4" max="4" width="15.6640625" style="39" customWidth="1"/>
    <col min="5" max="5" width="9.5" style="39" bestFit="1" customWidth="1"/>
    <col min="6" max="16384" width="8.83203125" style="39"/>
  </cols>
  <sheetData>
    <row r="2" spans="1:6" ht="18">
      <c r="B2" s="69"/>
      <c r="D2" s="67" t="s">
        <v>31</v>
      </c>
      <c r="F2" s="41" t="s">
        <v>31</v>
      </c>
    </row>
    <row r="3" spans="1:6">
      <c r="A3" s="41"/>
      <c r="B3" s="68" t="s">
        <v>63</v>
      </c>
      <c r="D3" s="67" t="s">
        <v>305</v>
      </c>
      <c r="F3" s="41" t="s">
        <v>352</v>
      </c>
    </row>
    <row r="4" spans="1:6" s="64" customFormat="1">
      <c r="A4" s="66"/>
      <c r="B4" s="66"/>
      <c r="D4" s="65"/>
    </row>
    <row r="5" spans="1:6">
      <c r="C5" s="41" t="s">
        <v>29</v>
      </c>
      <c r="D5" s="63"/>
    </row>
    <row r="6" spans="1:6">
      <c r="A6" s="62" t="s">
        <v>24</v>
      </c>
      <c r="B6" s="43" t="s">
        <v>28</v>
      </c>
      <c r="C6" s="42"/>
      <c r="D6" s="61"/>
      <c r="E6" s="61"/>
      <c r="F6" s="61"/>
    </row>
    <row r="7" spans="1:6">
      <c r="B7" s="39" t="s">
        <v>62</v>
      </c>
      <c r="C7" s="54">
        <v>1</v>
      </c>
      <c r="D7" s="15">
        <f>'Fee Breakdown'!C25</f>
        <v>540480</v>
      </c>
    </row>
    <row r="8" spans="1:6">
      <c r="B8" s="39" t="s">
        <v>61</v>
      </c>
      <c r="C8" s="54">
        <v>2</v>
      </c>
      <c r="D8" s="15">
        <v>525000</v>
      </c>
    </row>
    <row r="9" spans="1:6">
      <c r="B9" s="39" t="s">
        <v>44</v>
      </c>
      <c r="C9" s="54"/>
      <c r="D9" s="15">
        <v>4000</v>
      </c>
    </row>
    <row r="10" spans="1:6">
      <c r="B10" s="39" t="s">
        <v>60</v>
      </c>
      <c r="C10" s="54"/>
      <c r="D10" s="15">
        <v>12000</v>
      </c>
    </row>
    <row r="11" spans="1:6">
      <c r="B11" s="39" t="s">
        <v>59</v>
      </c>
      <c r="C11" s="54"/>
      <c r="D11" s="15">
        <v>2105</v>
      </c>
    </row>
    <row r="12" spans="1:6">
      <c r="B12" s="39" t="s">
        <v>58</v>
      </c>
      <c r="C12" s="60"/>
      <c r="D12" s="15">
        <v>10000</v>
      </c>
    </row>
    <row r="13" spans="1:6">
      <c r="B13" s="39" t="s">
        <v>57</v>
      </c>
      <c r="C13" s="54"/>
      <c r="D13" s="15">
        <v>6000</v>
      </c>
    </row>
    <row r="14" spans="1:6">
      <c r="B14" s="39" t="s">
        <v>56</v>
      </c>
      <c r="C14" s="33">
        <v>3</v>
      </c>
      <c r="D14" s="15">
        <v>12255</v>
      </c>
    </row>
    <row r="15" spans="1:6">
      <c r="B15" s="39" t="s">
        <v>55</v>
      </c>
      <c r="C15" s="33"/>
      <c r="D15" s="15"/>
    </row>
    <row r="16" spans="1:6">
      <c r="B16" s="41" t="s">
        <v>26</v>
      </c>
      <c r="C16" s="33"/>
      <c r="D16" s="48">
        <f>SUM(D7:D15)</f>
        <v>1111840</v>
      </c>
    </row>
    <row r="17" spans="2:6">
      <c r="C17" s="59"/>
      <c r="D17" s="58"/>
    </row>
    <row r="18" spans="2:6">
      <c r="B18" s="43" t="s">
        <v>25</v>
      </c>
      <c r="C18" s="57"/>
      <c r="D18" s="56"/>
      <c r="E18" s="56"/>
      <c r="F18" s="56"/>
    </row>
    <row r="19" spans="2:6">
      <c r="B19" s="39" t="s">
        <v>54</v>
      </c>
      <c r="C19" s="54"/>
      <c r="D19" s="15">
        <v>13000</v>
      </c>
    </row>
    <row r="20" spans="2:6">
      <c r="B20" s="39" t="s">
        <v>53</v>
      </c>
      <c r="C20" s="54"/>
      <c r="D20" s="15">
        <v>0</v>
      </c>
      <c r="E20" s="55"/>
    </row>
    <row r="21" spans="2:6">
      <c r="B21" s="39" t="s">
        <v>52</v>
      </c>
      <c r="C21" s="54"/>
      <c r="D21" s="15">
        <v>525000</v>
      </c>
    </row>
    <row r="22" spans="2:6">
      <c r="B22" s="39" t="s">
        <v>51</v>
      </c>
      <c r="C22" s="53"/>
      <c r="D22" s="15">
        <v>29000</v>
      </c>
    </row>
    <row r="23" spans="2:6">
      <c r="B23" s="39" t="s">
        <v>50</v>
      </c>
      <c r="C23" s="53"/>
      <c r="D23" s="15">
        <v>1000</v>
      </c>
    </row>
    <row r="24" spans="2:6">
      <c r="B24" s="39" t="s">
        <v>49</v>
      </c>
      <c r="C24" s="53"/>
      <c r="D24" s="15">
        <v>4000</v>
      </c>
    </row>
    <row r="25" spans="2:6">
      <c r="B25" s="39" t="s">
        <v>48</v>
      </c>
      <c r="C25" s="53"/>
      <c r="D25" s="15">
        <v>19130</v>
      </c>
    </row>
    <row r="26" spans="2:6">
      <c r="B26" s="39" t="s">
        <v>47</v>
      </c>
      <c r="C26" s="53"/>
      <c r="D26" s="15">
        <v>2500</v>
      </c>
    </row>
    <row r="27" spans="2:6">
      <c r="B27" s="39" t="s">
        <v>46</v>
      </c>
      <c r="C27" s="53"/>
      <c r="D27" s="15">
        <v>20000</v>
      </c>
    </row>
    <row r="28" spans="2:6">
      <c r="B28" s="39" t="s">
        <v>45</v>
      </c>
      <c r="C28" s="15"/>
      <c r="D28" s="15">
        <v>1600</v>
      </c>
    </row>
    <row r="29" spans="2:6">
      <c r="B29" s="39" t="s">
        <v>306</v>
      </c>
      <c r="C29" s="15">
        <v>4</v>
      </c>
      <c r="D29" s="15">
        <v>8750</v>
      </c>
    </row>
    <row r="30" spans="2:6">
      <c r="B30" s="39" t="s">
        <v>44</v>
      </c>
      <c r="C30" s="15"/>
      <c r="D30" s="15">
        <v>500</v>
      </c>
    </row>
    <row r="31" spans="2:6">
      <c r="B31" s="39" t="s">
        <v>43</v>
      </c>
      <c r="C31" s="15"/>
      <c r="D31" s="15">
        <v>7000</v>
      </c>
    </row>
    <row r="32" spans="2:6">
      <c r="B32" s="39" t="s">
        <v>42</v>
      </c>
      <c r="C32" s="15"/>
      <c r="D32" s="15">
        <v>3000</v>
      </c>
    </row>
    <row r="33" spans="2:6">
      <c r="B33" s="39" t="s">
        <v>41</v>
      </c>
      <c r="C33" s="15"/>
      <c r="D33" s="15">
        <v>750</v>
      </c>
    </row>
    <row r="34" spans="2:6" ht="15" customHeight="1">
      <c r="B34" s="39" t="s">
        <v>40</v>
      </c>
      <c r="C34" s="15"/>
      <c r="D34" s="15">
        <v>500</v>
      </c>
    </row>
    <row r="35" spans="2:6" s="51" customFormat="1" ht="13" customHeight="1">
      <c r="B35" s="51" t="s">
        <v>39</v>
      </c>
      <c r="C35" s="52"/>
      <c r="D35" s="52">
        <v>11000</v>
      </c>
    </row>
    <row r="36" spans="2:6">
      <c r="B36" s="47" t="s">
        <v>311</v>
      </c>
      <c r="C36" s="15"/>
      <c r="D36" s="15">
        <v>1000</v>
      </c>
    </row>
    <row r="37" spans="2:6">
      <c r="B37" s="50" t="s">
        <v>38</v>
      </c>
      <c r="C37" s="49"/>
      <c r="D37" s="49">
        <v>181000</v>
      </c>
    </row>
    <row r="38" spans="2:6">
      <c r="B38" s="50" t="s">
        <v>37</v>
      </c>
      <c r="C38" s="49">
        <v>5</v>
      </c>
      <c r="D38" s="49">
        <v>5000</v>
      </c>
    </row>
    <row r="39" spans="2:6">
      <c r="B39" s="47" t="s">
        <v>36</v>
      </c>
      <c r="C39" s="20">
        <v>6</v>
      </c>
      <c r="D39" s="15">
        <v>28000</v>
      </c>
    </row>
    <row r="40" spans="2:6">
      <c r="B40" s="47" t="s">
        <v>312</v>
      </c>
      <c r="C40" s="20">
        <v>7</v>
      </c>
      <c r="D40" s="15">
        <v>20000</v>
      </c>
    </row>
    <row r="41" spans="2:6">
      <c r="B41" s="47" t="s">
        <v>307</v>
      </c>
      <c r="C41" s="20"/>
      <c r="D41" s="15">
        <v>1920</v>
      </c>
      <c r="E41" s="15"/>
      <c r="F41" s="15"/>
    </row>
    <row r="42" spans="2:6" s="120" customFormat="1">
      <c r="B42" s="120" t="s">
        <v>172</v>
      </c>
      <c r="D42" s="131">
        <v>0</v>
      </c>
    </row>
    <row r="43" spans="2:6">
      <c r="B43" s="46" t="s">
        <v>14</v>
      </c>
      <c r="C43" s="20"/>
      <c r="D43" s="48">
        <f>SUM(D19:D42)</f>
        <v>883650</v>
      </c>
    </row>
    <row r="44" spans="2:6">
      <c r="B44" s="47"/>
      <c r="C44" s="20"/>
      <c r="D44" s="15"/>
    </row>
    <row r="45" spans="2:6" ht="13" thickBot="1">
      <c r="B45" s="46" t="s">
        <v>339</v>
      </c>
      <c r="C45" s="45"/>
      <c r="D45" s="16">
        <f>D16-D43</f>
        <v>228190</v>
      </c>
    </row>
    <row r="46" spans="2:6" ht="13" thickTop="1">
      <c r="C46" s="44"/>
    </row>
    <row r="47" spans="2:6">
      <c r="B47" s="43" t="s">
        <v>29</v>
      </c>
      <c r="C47" s="42"/>
      <c r="D47" s="42"/>
      <c r="E47" s="42"/>
      <c r="F47" s="42"/>
    </row>
    <row r="48" spans="2:6">
      <c r="B48" s="41"/>
    </row>
    <row r="49" spans="2:2">
      <c r="B49" s="39" t="s">
        <v>35</v>
      </c>
    </row>
    <row r="50" spans="2:2">
      <c r="B50" s="39" t="s">
        <v>34</v>
      </c>
    </row>
    <row r="51" spans="2:2" ht="13.5" customHeight="1">
      <c r="B51" s="39" t="s">
        <v>33</v>
      </c>
    </row>
    <row r="52" spans="2:2" ht="13.5" customHeight="1">
      <c r="B52" s="39" t="s">
        <v>328</v>
      </c>
    </row>
    <row r="53" spans="2:2">
      <c r="B53" s="39" t="s">
        <v>327</v>
      </c>
    </row>
    <row r="54" spans="2:2">
      <c r="B54" s="39" t="s">
        <v>329</v>
      </c>
    </row>
    <row r="55" spans="2:2">
      <c r="B55" s="39" t="s">
        <v>313</v>
      </c>
    </row>
  </sheetData>
  <pageMargins left="0.75" right="0.75" top="1" bottom="1" header="0.5" footer="0.5"/>
  <pageSetup scale="9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27"/>
  <sheetViews>
    <sheetView workbookViewId="0">
      <selection activeCell="F1" sqref="F1:F2"/>
    </sheetView>
  </sheetViews>
  <sheetFormatPr baseColWidth="10" defaultColWidth="8.83203125" defaultRowHeight="12" x14ac:dyDescent="0"/>
  <cols>
    <col min="1" max="1" width="7.83203125" style="70" bestFit="1" customWidth="1"/>
    <col min="2" max="2" width="26.5" style="11" bestFit="1" customWidth="1"/>
    <col min="3" max="3" width="7.33203125" style="13" bestFit="1" customWidth="1"/>
    <col min="4" max="4" width="17.6640625" style="11" customWidth="1"/>
    <col min="5" max="5" width="9.6640625" style="11" bestFit="1" customWidth="1"/>
    <col min="6" max="6" width="11.33203125" style="11" bestFit="1" customWidth="1"/>
    <col min="7" max="16384" width="8.83203125" style="11"/>
  </cols>
  <sheetData>
    <row r="1" spans="1:6">
      <c r="B1" s="18"/>
      <c r="D1" s="250" t="s">
        <v>31</v>
      </c>
      <c r="E1" s="41"/>
      <c r="F1" s="259" t="s">
        <v>31</v>
      </c>
    </row>
    <row r="2" spans="1:6">
      <c r="A2" s="94"/>
      <c r="B2" s="95" t="s">
        <v>103</v>
      </c>
      <c r="D2" s="35" t="s">
        <v>305</v>
      </c>
      <c r="E2" s="41"/>
      <c r="F2" s="259" t="s">
        <v>352</v>
      </c>
    </row>
    <row r="3" spans="1:6" s="75" customFormat="1">
      <c r="A3" s="94"/>
      <c r="B3" s="93"/>
      <c r="C3" s="74"/>
    </row>
    <row r="4" spans="1:6">
      <c r="B4" s="18"/>
      <c r="C4" s="14" t="s">
        <v>29</v>
      </c>
    </row>
    <row r="5" spans="1:6">
      <c r="A5" s="92">
        <v>1000</v>
      </c>
      <c r="B5" s="31" t="s">
        <v>23</v>
      </c>
      <c r="C5" s="71"/>
      <c r="D5" s="30"/>
      <c r="E5" s="30"/>
      <c r="F5" s="30"/>
    </row>
    <row r="6" spans="1:6">
      <c r="A6" s="91"/>
      <c r="B6" s="89" t="s">
        <v>28</v>
      </c>
      <c r="C6" s="90"/>
      <c r="D6" s="89"/>
    </row>
    <row r="7" spans="1:6">
      <c r="A7" s="87"/>
      <c r="B7" s="86" t="s">
        <v>102</v>
      </c>
      <c r="C7" s="88"/>
      <c r="D7" s="84">
        <v>10000</v>
      </c>
    </row>
    <row r="8" spans="1:6">
      <c r="A8" s="87"/>
      <c r="B8" s="86" t="s">
        <v>78</v>
      </c>
      <c r="C8" s="85"/>
      <c r="D8" s="84"/>
    </row>
    <row r="9" spans="1:6">
      <c r="A9" s="79"/>
      <c r="B9" s="18" t="s">
        <v>26</v>
      </c>
      <c r="C9" s="73"/>
      <c r="D9" s="48">
        <f>SUM(D7:D8)</f>
        <v>10000</v>
      </c>
    </row>
    <row r="10" spans="1:6">
      <c r="A10" s="79"/>
      <c r="B10" s="18"/>
      <c r="C10" s="73"/>
      <c r="D10" s="15"/>
    </row>
    <row r="11" spans="1:6">
      <c r="A11" s="79"/>
      <c r="B11" s="18" t="s">
        <v>25</v>
      </c>
      <c r="C11" s="73"/>
      <c r="D11" s="15"/>
    </row>
    <row r="12" spans="1:6">
      <c r="B12" s="11" t="s">
        <v>76</v>
      </c>
      <c r="C12" s="23"/>
      <c r="D12" s="15">
        <v>23000</v>
      </c>
    </row>
    <row r="13" spans="1:6">
      <c r="B13" s="11" t="s">
        <v>308</v>
      </c>
      <c r="C13" s="23"/>
      <c r="D13" s="15">
        <v>3000</v>
      </c>
    </row>
    <row r="14" spans="1:6">
      <c r="B14" s="11" t="s">
        <v>75</v>
      </c>
      <c r="C14" s="17"/>
      <c r="D14" s="15">
        <v>9000</v>
      </c>
    </row>
    <row r="15" spans="1:6">
      <c r="B15" s="75" t="s">
        <v>73</v>
      </c>
      <c r="C15" s="76"/>
      <c r="D15" s="49">
        <v>0</v>
      </c>
    </row>
    <row r="16" spans="1:6">
      <c r="B16" s="75" t="s">
        <v>72</v>
      </c>
      <c r="C16" s="76"/>
      <c r="D16" s="49">
        <v>0</v>
      </c>
    </row>
    <row r="17" spans="1:6">
      <c r="B17" s="11" t="s">
        <v>74</v>
      </c>
      <c r="C17" s="23"/>
      <c r="D17" s="15">
        <v>0</v>
      </c>
    </row>
    <row r="18" spans="1:6">
      <c r="B18" s="11" t="s">
        <v>71</v>
      </c>
      <c r="C18" s="76"/>
      <c r="D18" s="15">
        <v>0</v>
      </c>
    </row>
    <row r="19" spans="1:6">
      <c r="B19" s="11" t="s">
        <v>70</v>
      </c>
      <c r="C19" s="23"/>
      <c r="D19" s="15">
        <v>500</v>
      </c>
    </row>
    <row r="20" spans="1:6">
      <c r="B20" s="11" t="s">
        <v>101</v>
      </c>
      <c r="C20" s="23"/>
      <c r="D20" s="15">
        <v>750</v>
      </c>
    </row>
    <row r="21" spans="1:6">
      <c r="B21" s="11" t="s">
        <v>100</v>
      </c>
      <c r="C21" s="23"/>
      <c r="D21" s="15">
        <v>500</v>
      </c>
    </row>
    <row r="22" spans="1:6">
      <c r="B22" s="11" t="s">
        <v>99</v>
      </c>
      <c r="C22" s="45"/>
      <c r="D22" s="15">
        <v>1288</v>
      </c>
    </row>
    <row r="23" spans="1:6">
      <c r="B23" s="11" t="s">
        <v>98</v>
      </c>
      <c r="C23" s="20"/>
      <c r="D23" s="15">
        <v>0</v>
      </c>
    </row>
    <row r="24" spans="1:6">
      <c r="B24" s="11" t="s">
        <v>97</v>
      </c>
      <c r="C24" s="20"/>
      <c r="D24" s="15">
        <v>5000</v>
      </c>
    </row>
    <row r="25" spans="1:6">
      <c r="A25" s="79"/>
      <c r="B25" s="18" t="s">
        <v>14</v>
      </c>
      <c r="C25" s="17"/>
      <c r="D25" s="48">
        <f>SUM(D12:D24)</f>
        <v>43038</v>
      </c>
    </row>
    <row r="26" spans="1:6">
      <c r="A26" s="79"/>
      <c r="B26" s="18"/>
      <c r="C26" s="73"/>
      <c r="D26" s="15"/>
    </row>
    <row r="27" spans="1:6" ht="13" thickBot="1">
      <c r="A27" s="79"/>
      <c r="B27" s="18" t="s">
        <v>66</v>
      </c>
      <c r="C27" s="73"/>
      <c r="D27" s="16">
        <f>D9-D25</f>
        <v>-33038</v>
      </c>
    </row>
    <row r="28" spans="1:6" ht="13" thickTop="1">
      <c r="A28" s="79"/>
      <c r="B28" s="18"/>
      <c r="C28" s="73"/>
      <c r="D28" s="15"/>
    </row>
    <row r="29" spans="1:6">
      <c r="A29" s="79">
        <v>1200</v>
      </c>
      <c r="B29" s="31" t="s">
        <v>96</v>
      </c>
      <c r="C29" s="71"/>
      <c r="D29" s="77"/>
      <c r="E29" s="77"/>
      <c r="F29" s="77"/>
    </row>
    <row r="30" spans="1:6">
      <c r="A30" s="79"/>
      <c r="B30" s="18" t="s">
        <v>28</v>
      </c>
      <c r="D30" s="15"/>
    </row>
    <row r="31" spans="1:6">
      <c r="B31" s="11" t="s">
        <v>95</v>
      </c>
      <c r="C31" s="83"/>
      <c r="D31" s="15">
        <v>14000</v>
      </c>
    </row>
    <row r="32" spans="1:6">
      <c r="B32" s="11" t="s">
        <v>94</v>
      </c>
      <c r="C32" s="23"/>
      <c r="D32" s="15">
        <v>0</v>
      </c>
    </row>
    <row r="33" spans="1:6">
      <c r="B33" s="11" t="s">
        <v>93</v>
      </c>
      <c r="C33" s="23"/>
      <c r="D33" s="15">
        <v>110000</v>
      </c>
      <c r="F33" s="255"/>
    </row>
    <row r="34" spans="1:6">
      <c r="A34" s="79"/>
      <c r="B34" s="18" t="s">
        <v>26</v>
      </c>
      <c r="C34" s="73"/>
      <c r="D34" s="48">
        <f>SUM(D31:D33)</f>
        <v>124000</v>
      </c>
    </row>
    <row r="35" spans="1:6">
      <c r="A35" s="79"/>
      <c r="B35" s="18"/>
      <c r="C35" s="73"/>
      <c r="D35" s="15"/>
    </row>
    <row r="36" spans="1:6">
      <c r="A36" s="79"/>
      <c r="B36" s="18" t="s">
        <v>25</v>
      </c>
      <c r="C36" s="83"/>
      <c r="D36" s="15"/>
    </row>
    <row r="37" spans="1:6">
      <c r="B37" s="11" t="s">
        <v>76</v>
      </c>
      <c r="C37" s="23"/>
      <c r="D37" s="15">
        <v>35000</v>
      </c>
    </row>
    <row r="38" spans="1:6">
      <c r="B38" s="11" t="s">
        <v>308</v>
      </c>
      <c r="C38" s="23"/>
      <c r="D38" s="15">
        <v>2500</v>
      </c>
    </row>
    <row r="39" spans="1:6">
      <c r="B39" s="11" t="s">
        <v>75</v>
      </c>
      <c r="C39" s="23"/>
      <c r="D39" s="15">
        <v>12500</v>
      </c>
    </row>
    <row r="40" spans="1:6">
      <c r="B40" s="11" t="s">
        <v>74</v>
      </c>
      <c r="C40" s="76"/>
      <c r="D40" s="15">
        <v>8000</v>
      </c>
    </row>
    <row r="41" spans="1:6">
      <c r="B41" s="11" t="s">
        <v>92</v>
      </c>
      <c r="C41" s="17"/>
      <c r="D41" s="15">
        <v>30000</v>
      </c>
    </row>
    <row r="42" spans="1:6">
      <c r="B42" s="11" t="s">
        <v>91</v>
      </c>
      <c r="C42" s="23"/>
      <c r="D42" s="15"/>
    </row>
    <row r="43" spans="1:6">
      <c r="B43" s="11" t="s">
        <v>309</v>
      </c>
      <c r="C43" s="23"/>
      <c r="D43" s="15">
        <v>1750</v>
      </c>
    </row>
    <row r="44" spans="1:6">
      <c r="B44" s="11" t="s">
        <v>90</v>
      </c>
      <c r="C44" s="23"/>
      <c r="D44" s="15">
        <v>7500</v>
      </c>
    </row>
    <row r="45" spans="1:6">
      <c r="B45" s="11" t="s">
        <v>89</v>
      </c>
      <c r="C45" s="20"/>
      <c r="D45" s="15">
        <f>750*1.03</f>
        <v>772.5</v>
      </c>
    </row>
    <row r="46" spans="1:6">
      <c r="B46" s="11" t="s">
        <v>88</v>
      </c>
      <c r="C46" s="20"/>
      <c r="D46" s="15">
        <v>3200</v>
      </c>
    </row>
    <row r="47" spans="1:6">
      <c r="B47" s="11" t="s">
        <v>87</v>
      </c>
      <c r="C47" s="20"/>
      <c r="D47" s="15">
        <v>4000</v>
      </c>
    </row>
    <row r="48" spans="1:6">
      <c r="B48" s="11" t="s">
        <v>86</v>
      </c>
      <c r="C48" s="20"/>
      <c r="D48" s="15">
        <v>250</v>
      </c>
    </row>
    <row r="49" spans="1:6">
      <c r="A49" s="79"/>
      <c r="B49" s="18" t="s">
        <v>14</v>
      </c>
      <c r="C49" s="17"/>
      <c r="D49" s="48">
        <f>SUM(D37:D48)</f>
        <v>105472.5</v>
      </c>
    </row>
    <row r="50" spans="1:6">
      <c r="A50" s="79"/>
      <c r="B50" s="18"/>
      <c r="C50" s="73"/>
      <c r="D50" s="15"/>
    </row>
    <row r="51" spans="1:6" ht="13" thickBot="1">
      <c r="A51" s="79"/>
      <c r="B51" s="18" t="s">
        <v>13</v>
      </c>
      <c r="C51" s="73"/>
      <c r="D51" s="16">
        <f>D34-D49</f>
        <v>18527.5</v>
      </c>
    </row>
    <row r="52" spans="1:6" ht="13" thickTop="1">
      <c r="A52" s="79"/>
      <c r="D52" s="15"/>
    </row>
    <row r="53" spans="1:6">
      <c r="A53" s="79">
        <v>1300</v>
      </c>
      <c r="B53" s="31" t="s">
        <v>85</v>
      </c>
      <c r="C53" s="71"/>
      <c r="D53" s="77"/>
      <c r="E53" s="77"/>
      <c r="F53" s="77"/>
    </row>
    <row r="54" spans="1:6">
      <c r="A54" s="79"/>
      <c r="B54" s="18" t="s">
        <v>84</v>
      </c>
      <c r="C54" s="73"/>
      <c r="D54" s="15"/>
    </row>
    <row r="55" spans="1:6" s="75" customFormat="1">
      <c r="A55" s="70"/>
      <c r="B55" s="75" t="s">
        <v>78</v>
      </c>
      <c r="C55" s="82"/>
      <c r="D55" s="49">
        <v>0</v>
      </c>
    </row>
    <row r="56" spans="1:6">
      <c r="B56" s="11" t="s">
        <v>79</v>
      </c>
      <c r="C56" s="23"/>
      <c r="D56" s="15">
        <v>30000</v>
      </c>
    </row>
    <row r="57" spans="1:6">
      <c r="A57" s="79"/>
      <c r="B57" s="18" t="s">
        <v>77</v>
      </c>
      <c r="C57" s="73"/>
      <c r="D57" s="48">
        <f>D55+D56</f>
        <v>30000</v>
      </c>
    </row>
    <row r="58" spans="1:6">
      <c r="A58" s="79"/>
      <c r="B58" s="18"/>
      <c r="C58" s="73"/>
      <c r="D58" s="15"/>
    </row>
    <row r="59" spans="1:6">
      <c r="A59" s="79"/>
      <c r="B59" s="18" t="s">
        <v>25</v>
      </c>
      <c r="C59" s="73"/>
      <c r="D59" s="15"/>
    </row>
    <row r="60" spans="1:6">
      <c r="B60" s="11" t="s">
        <v>76</v>
      </c>
      <c r="C60" s="23"/>
      <c r="D60" s="15">
        <v>6500</v>
      </c>
    </row>
    <row r="61" spans="1:6">
      <c r="B61" s="11" t="s">
        <v>308</v>
      </c>
      <c r="C61" s="23"/>
      <c r="D61" s="15">
        <v>1000</v>
      </c>
    </row>
    <row r="62" spans="1:6">
      <c r="B62" s="11" t="s">
        <v>75</v>
      </c>
      <c r="C62" s="23"/>
      <c r="D62" s="15">
        <v>4000</v>
      </c>
    </row>
    <row r="63" spans="1:6">
      <c r="B63" s="75" t="s">
        <v>74</v>
      </c>
      <c r="C63" s="76"/>
      <c r="D63" s="49">
        <v>4000</v>
      </c>
    </row>
    <row r="64" spans="1:6">
      <c r="B64" s="75" t="s">
        <v>73</v>
      </c>
      <c r="C64" s="76"/>
      <c r="D64" s="49">
        <v>0</v>
      </c>
    </row>
    <row r="65" spans="1:6">
      <c r="B65" s="75" t="s">
        <v>72</v>
      </c>
      <c r="C65" s="76"/>
      <c r="D65" s="49">
        <v>0</v>
      </c>
    </row>
    <row r="66" spans="1:6">
      <c r="B66" s="75" t="s">
        <v>83</v>
      </c>
      <c r="C66" s="76"/>
      <c r="D66" s="49">
        <v>250</v>
      </c>
    </row>
    <row r="67" spans="1:6">
      <c r="B67" s="75" t="s">
        <v>82</v>
      </c>
      <c r="C67" s="76"/>
      <c r="D67" s="15">
        <v>300</v>
      </c>
    </row>
    <row r="68" spans="1:6">
      <c r="B68" s="11" t="s">
        <v>70</v>
      </c>
      <c r="C68" s="23"/>
      <c r="D68" s="15">
        <v>750</v>
      </c>
    </row>
    <row r="69" spans="1:6">
      <c r="A69" s="79"/>
      <c r="B69" s="18" t="s">
        <v>14</v>
      </c>
      <c r="C69" s="17"/>
      <c r="D69" s="48">
        <f>SUM(D60:D68)</f>
        <v>16800</v>
      </c>
    </row>
    <row r="70" spans="1:6">
      <c r="A70" s="79"/>
      <c r="B70" s="18"/>
      <c r="C70" s="73"/>
      <c r="D70" s="15"/>
    </row>
    <row r="71" spans="1:6" ht="13" thickBot="1">
      <c r="A71" s="79"/>
      <c r="B71" s="18" t="s">
        <v>66</v>
      </c>
      <c r="C71" s="14"/>
      <c r="D71" s="16">
        <f>D57-D69</f>
        <v>13200</v>
      </c>
    </row>
    <row r="72" spans="1:6" ht="13" thickTop="1">
      <c r="A72" s="79"/>
      <c r="B72" s="81"/>
      <c r="C72" s="80"/>
      <c r="D72" s="15"/>
    </row>
    <row r="73" spans="1:6">
      <c r="B73" s="81"/>
      <c r="C73" s="80"/>
      <c r="D73" s="15"/>
    </row>
    <row r="74" spans="1:6">
      <c r="A74" s="79">
        <v>1600</v>
      </c>
      <c r="B74" s="31" t="s">
        <v>81</v>
      </c>
      <c r="C74" s="78"/>
      <c r="D74" s="77"/>
      <c r="E74" s="77"/>
      <c r="F74" s="77"/>
    </row>
    <row r="75" spans="1:6">
      <c r="B75" s="18" t="s">
        <v>80</v>
      </c>
      <c r="D75" s="15"/>
    </row>
    <row r="76" spans="1:6" s="75" customFormat="1">
      <c r="A76" s="70"/>
      <c r="B76" s="11" t="s">
        <v>79</v>
      </c>
      <c r="C76" s="13"/>
      <c r="D76" s="15">
        <v>55000</v>
      </c>
    </row>
    <row r="77" spans="1:6">
      <c r="B77" s="75" t="s">
        <v>78</v>
      </c>
      <c r="C77" s="74"/>
      <c r="D77" s="49">
        <v>0</v>
      </c>
    </row>
    <row r="78" spans="1:6">
      <c r="B78" s="18" t="s">
        <v>77</v>
      </c>
      <c r="D78" s="48">
        <f>D76+D77</f>
        <v>55000</v>
      </c>
    </row>
    <row r="79" spans="1:6">
      <c r="B79" s="18"/>
      <c r="D79" s="15"/>
    </row>
    <row r="80" spans="1:6">
      <c r="B80" s="18" t="s">
        <v>25</v>
      </c>
      <c r="D80" s="15"/>
    </row>
    <row r="81" spans="1:6">
      <c r="B81" s="11" t="s">
        <v>76</v>
      </c>
      <c r="D81" s="15">
        <v>11500</v>
      </c>
    </row>
    <row r="82" spans="1:6">
      <c r="B82" s="11" t="s">
        <v>308</v>
      </c>
      <c r="D82" s="15">
        <v>1000</v>
      </c>
    </row>
    <row r="83" spans="1:6">
      <c r="B83" s="11" t="s">
        <v>75</v>
      </c>
      <c r="D83" s="15">
        <v>9000</v>
      </c>
    </row>
    <row r="84" spans="1:6">
      <c r="B84" s="11" t="s">
        <v>74</v>
      </c>
      <c r="D84" s="15">
        <v>4000</v>
      </c>
    </row>
    <row r="85" spans="1:6">
      <c r="B85" s="75" t="s">
        <v>73</v>
      </c>
      <c r="C85" s="76"/>
      <c r="D85" s="49">
        <v>0</v>
      </c>
    </row>
    <row r="86" spans="1:6">
      <c r="B86" s="75" t="s">
        <v>72</v>
      </c>
      <c r="C86" s="76"/>
      <c r="D86" s="49">
        <v>0</v>
      </c>
    </row>
    <row r="87" spans="1:6">
      <c r="B87" s="75" t="s">
        <v>71</v>
      </c>
      <c r="C87" s="74"/>
      <c r="D87" s="49">
        <v>8500</v>
      </c>
    </row>
    <row r="88" spans="1:6">
      <c r="B88" s="75" t="s">
        <v>70</v>
      </c>
      <c r="C88" s="74"/>
      <c r="D88" s="49">
        <v>500</v>
      </c>
    </row>
    <row r="89" spans="1:6">
      <c r="B89" s="11" t="s">
        <v>69</v>
      </c>
      <c r="D89" s="15">
        <v>1500</v>
      </c>
    </row>
    <row r="90" spans="1:6">
      <c r="B90" s="11" t="s">
        <v>68</v>
      </c>
      <c r="D90" s="15">
        <v>500</v>
      </c>
    </row>
    <row r="91" spans="1:6">
      <c r="B91" s="11" t="s">
        <v>67</v>
      </c>
      <c r="D91" s="15">
        <v>500</v>
      </c>
    </row>
    <row r="92" spans="1:6">
      <c r="B92" s="18" t="s">
        <v>14</v>
      </c>
      <c r="D92" s="48">
        <f>SUM(D81:D91)</f>
        <v>37000</v>
      </c>
    </row>
    <row r="93" spans="1:6">
      <c r="B93" s="18"/>
      <c r="D93" s="15"/>
    </row>
    <row r="94" spans="1:6" ht="13" thickBot="1">
      <c r="B94" s="18" t="s">
        <v>66</v>
      </c>
      <c r="D94" s="16">
        <f>D78-D92</f>
        <v>18000</v>
      </c>
    </row>
    <row r="95" spans="1:6" ht="13" thickTop="1">
      <c r="B95" s="18"/>
      <c r="D95" s="45"/>
    </row>
    <row r="96" spans="1:6">
      <c r="A96" s="183">
        <v>1700</v>
      </c>
      <c r="B96" s="182" t="s">
        <v>195</v>
      </c>
      <c r="C96" s="181"/>
      <c r="D96" s="180"/>
      <c r="E96" s="180"/>
      <c r="F96" s="180"/>
    </row>
    <row r="97" spans="1:4">
      <c r="A97" s="179"/>
      <c r="B97" s="178" t="s">
        <v>194</v>
      </c>
      <c r="C97" s="177"/>
      <c r="D97" s="131">
        <f>1000*1.03</f>
        <v>1030</v>
      </c>
    </row>
    <row r="98" spans="1:4">
      <c r="A98" s="179"/>
      <c r="B98" s="11" t="s">
        <v>351</v>
      </c>
      <c r="C98" s="177"/>
      <c r="D98" s="131">
        <v>2500</v>
      </c>
    </row>
    <row r="99" spans="1:4">
      <c r="A99" s="179"/>
      <c r="B99" s="178" t="s">
        <v>193</v>
      </c>
      <c r="C99" s="177"/>
      <c r="D99" s="176">
        <v>12500</v>
      </c>
    </row>
    <row r="100" spans="1:4">
      <c r="A100" s="120"/>
      <c r="B100" s="120"/>
      <c r="C100" s="120"/>
      <c r="D100" s="120"/>
    </row>
    <row r="101" spans="1:4" ht="13" thickBot="1">
      <c r="A101" s="120"/>
      <c r="B101" s="133" t="s">
        <v>104</v>
      </c>
      <c r="C101" s="120"/>
      <c r="D101" s="130">
        <f>SUM(D96:D100)</f>
        <v>16030</v>
      </c>
    </row>
    <row r="102" spans="1:4" ht="13" thickTop="1">
      <c r="B102" s="18"/>
      <c r="C102" s="73"/>
      <c r="D102" s="15"/>
    </row>
    <row r="103" spans="1:4">
      <c r="B103" s="18" t="s">
        <v>65</v>
      </c>
      <c r="C103" s="17"/>
      <c r="D103" s="32">
        <f>D9+D34+D57+D78</f>
        <v>219000</v>
      </c>
    </row>
    <row r="104" spans="1:4">
      <c r="B104" s="18" t="s">
        <v>64</v>
      </c>
      <c r="C104" s="17"/>
      <c r="D104" s="32">
        <f>D25+D49+D69+D101+D92</f>
        <v>218340.5</v>
      </c>
    </row>
    <row r="105" spans="1:4" ht="13" thickBot="1">
      <c r="B105" s="24" t="s">
        <v>339</v>
      </c>
      <c r="C105" s="14"/>
      <c r="D105" s="72">
        <f t="shared" ref="D105" si="0">D103-D104</f>
        <v>659.5</v>
      </c>
    </row>
    <row r="106" spans="1:4" ht="13" thickTop="1"/>
    <row r="107" spans="1:4">
      <c r="B107" s="11" t="s">
        <v>334</v>
      </c>
    </row>
    <row r="108" spans="1:4">
      <c r="B108" s="11" t="s">
        <v>333</v>
      </c>
    </row>
    <row r="109" spans="1:4">
      <c r="B109" s="32"/>
    </row>
    <row r="110" spans="1:4">
      <c r="B110" s="32"/>
    </row>
    <row r="111" spans="1:4">
      <c r="B111" s="32"/>
    </row>
    <row r="112" spans="1:4">
      <c r="B112" s="32"/>
    </row>
    <row r="113" spans="2:2">
      <c r="B113" s="32"/>
    </row>
    <row r="114" spans="2:2">
      <c r="B114" s="32"/>
    </row>
    <row r="115" spans="2:2">
      <c r="B115" s="32"/>
    </row>
    <row r="116" spans="2:2">
      <c r="B116" s="32"/>
    </row>
    <row r="117" spans="2:2">
      <c r="B117" s="32"/>
    </row>
    <row r="118" spans="2:2">
      <c r="B118" s="32"/>
    </row>
    <row r="119" spans="2:2">
      <c r="B119" s="15"/>
    </row>
    <row r="120" spans="2:2">
      <c r="B120" s="15"/>
    </row>
    <row r="121" spans="2:2">
      <c r="B121" s="15"/>
    </row>
    <row r="122" spans="2:2">
      <c r="B122" s="15"/>
    </row>
    <row r="123" spans="2:2">
      <c r="B123" s="15"/>
    </row>
    <row r="124" spans="2:2">
      <c r="B124" s="15"/>
    </row>
    <row r="125" spans="2:2">
      <c r="B125" s="15"/>
    </row>
    <row r="126" spans="2:2">
      <c r="B126" s="15"/>
    </row>
    <row r="127" spans="2:2">
      <c r="B127" s="15"/>
    </row>
  </sheetData>
  <pageMargins left="0.75" right="0.17" top="0.5" bottom="0.18" header="0.5" footer="0.17"/>
  <pageSetup scale="56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56"/>
  <sheetViews>
    <sheetView workbookViewId="0">
      <selection activeCell="F2" sqref="F2:F3"/>
    </sheetView>
  </sheetViews>
  <sheetFormatPr baseColWidth="10" defaultColWidth="8.83203125" defaultRowHeight="12" x14ac:dyDescent="0"/>
  <cols>
    <col min="1" max="1" width="5.1640625" style="39" bestFit="1" customWidth="1"/>
    <col min="2" max="2" width="24" style="39" bestFit="1" customWidth="1"/>
    <col min="3" max="3" width="6.6640625" style="96" customWidth="1"/>
    <col min="4" max="4" width="12.5" style="39" customWidth="1"/>
    <col min="5" max="16384" width="8.83203125" style="39"/>
  </cols>
  <sheetData>
    <row r="2" spans="1:6">
      <c r="D2" s="67" t="s">
        <v>31</v>
      </c>
      <c r="F2" s="260" t="s">
        <v>31</v>
      </c>
    </row>
    <row r="3" spans="1:6">
      <c r="A3" s="41"/>
      <c r="B3" s="68" t="s">
        <v>21</v>
      </c>
      <c r="D3" s="67" t="s">
        <v>305</v>
      </c>
      <c r="F3" s="260" t="s">
        <v>352</v>
      </c>
    </row>
    <row r="4" spans="1:6" s="64" customFormat="1">
      <c r="A4" s="66"/>
      <c r="B4" s="66"/>
      <c r="C4" s="70"/>
    </row>
    <row r="5" spans="1:6">
      <c r="C5" s="107" t="s">
        <v>29</v>
      </c>
    </row>
    <row r="6" spans="1:6">
      <c r="B6" s="43" t="s">
        <v>28</v>
      </c>
      <c r="C6" s="109"/>
      <c r="D6" s="42"/>
      <c r="E6" s="42"/>
      <c r="F6" s="42"/>
    </row>
    <row r="7" spans="1:6">
      <c r="A7" s="41">
        <v>2200</v>
      </c>
      <c r="B7" s="39" t="s">
        <v>110</v>
      </c>
      <c r="C7" s="12"/>
      <c r="D7" s="15">
        <v>500</v>
      </c>
    </row>
    <row r="8" spans="1:6">
      <c r="A8" s="41">
        <v>2300</v>
      </c>
      <c r="B8" s="39" t="s">
        <v>108</v>
      </c>
      <c r="C8" s="19"/>
      <c r="D8" s="49">
        <v>5000</v>
      </c>
    </row>
    <row r="9" spans="1:6">
      <c r="A9" s="41">
        <v>2500</v>
      </c>
      <c r="B9" s="39" t="s">
        <v>106</v>
      </c>
      <c r="C9" s="19">
        <v>1</v>
      </c>
      <c r="D9" s="15">
        <v>1500</v>
      </c>
    </row>
    <row r="10" spans="1:6">
      <c r="A10" s="41">
        <v>2000</v>
      </c>
      <c r="B10" s="39" t="s">
        <v>122</v>
      </c>
      <c r="C10" s="19"/>
      <c r="D10" s="15">
        <v>1250</v>
      </c>
    </row>
    <row r="11" spans="1:6">
      <c r="B11" s="41" t="s">
        <v>26</v>
      </c>
      <c r="C11" s="12"/>
      <c r="D11" s="48">
        <f>SUM(D7:D10)</f>
        <v>8250</v>
      </c>
    </row>
    <row r="12" spans="1:6">
      <c r="D12" s="15"/>
    </row>
    <row r="13" spans="1:6">
      <c r="B13" s="43" t="s">
        <v>25</v>
      </c>
      <c r="C13" s="109"/>
      <c r="D13" s="77"/>
      <c r="E13" s="77"/>
      <c r="F13" s="77"/>
    </row>
    <row r="14" spans="1:6">
      <c r="A14" s="41">
        <v>2000</v>
      </c>
      <c r="B14" s="41" t="s">
        <v>23</v>
      </c>
      <c r="D14" s="15"/>
    </row>
    <row r="15" spans="1:6">
      <c r="A15" s="41"/>
      <c r="B15" s="39" t="s">
        <v>121</v>
      </c>
      <c r="C15" s="15"/>
      <c r="D15" s="15">
        <v>8200</v>
      </c>
    </row>
    <row r="16" spans="1:6">
      <c r="A16" s="41"/>
      <c r="B16" s="39" t="s">
        <v>120</v>
      </c>
      <c r="C16" s="15"/>
      <c r="D16" s="15">
        <v>250</v>
      </c>
    </row>
    <row r="17" spans="1:4">
      <c r="A17" s="41"/>
      <c r="B17" s="39" t="s">
        <v>119</v>
      </c>
      <c r="C17" s="15"/>
      <c r="D17" s="15">
        <v>0</v>
      </c>
    </row>
    <row r="18" spans="1:4">
      <c r="A18" s="41"/>
      <c r="B18" s="39" t="s">
        <v>118</v>
      </c>
      <c r="C18" s="15"/>
      <c r="D18" s="15">
        <v>750</v>
      </c>
    </row>
    <row r="21" spans="1:4">
      <c r="A21" s="41"/>
      <c r="B21" s="41" t="s">
        <v>117</v>
      </c>
      <c r="C21" s="36"/>
      <c r="D21" s="48">
        <f>SUM(D15:D18)</f>
        <v>9200</v>
      </c>
    </row>
    <row r="22" spans="1:4">
      <c r="A22" s="41"/>
      <c r="B22" s="41"/>
      <c r="D22" s="15"/>
    </row>
    <row r="23" spans="1:4">
      <c r="A23" s="41">
        <v>2100</v>
      </c>
      <c r="B23" s="41" t="s">
        <v>116</v>
      </c>
      <c r="D23" s="15"/>
    </row>
    <row r="24" spans="1:4">
      <c r="B24" s="39" t="s">
        <v>115</v>
      </c>
      <c r="C24" s="15"/>
      <c r="D24" s="15">
        <v>1000</v>
      </c>
    </row>
    <row r="25" spans="1:4">
      <c r="A25" s="41"/>
      <c r="B25" s="39" t="s">
        <v>114</v>
      </c>
      <c r="C25" s="15"/>
      <c r="D25" s="15">
        <v>1500</v>
      </c>
    </row>
    <row r="26" spans="1:4">
      <c r="B26" s="39" t="s">
        <v>113</v>
      </c>
      <c r="C26" s="15"/>
      <c r="D26" s="15">
        <f>4000*1.03</f>
        <v>4120</v>
      </c>
    </row>
    <row r="27" spans="1:4">
      <c r="B27" s="39" t="s">
        <v>112</v>
      </c>
      <c r="C27" s="15"/>
      <c r="D27" s="15">
        <v>250</v>
      </c>
    </row>
    <row r="28" spans="1:4">
      <c r="B28" s="39" t="s">
        <v>319</v>
      </c>
      <c r="C28" s="15">
        <v>2</v>
      </c>
      <c r="D28" s="15">
        <v>2800</v>
      </c>
    </row>
    <row r="29" spans="1:4">
      <c r="B29" s="39" t="s">
        <v>310</v>
      </c>
      <c r="C29" s="15"/>
      <c r="D29" s="15">
        <f>3000*1.03</f>
        <v>3090</v>
      </c>
    </row>
    <row r="30" spans="1:4">
      <c r="B30" s="41" t="s">
        <v>111</v>
      </c>
      <c r="C30" s="36"/>
      <c r="D30" s="48">
        <f>SUM(D24:D29)</f>
        <v>12760</v>
      </c>
    </row>
    <row r="31" spans="1:4">
      <c r="D31" s="15"/>
    </row>
    <row r="32" spans="1:4">
      <c r="A32" s="41">
        <v>2200</v>
      </c>
      <c r="B32" s="41" t="s">
        <v>110</v>
      </c>
      <c r="D32" s="15"/>
    </row>
    <row r="33" spans="1:6">
      <c r="A33" s="41"/>
      <c r="B33" s="39" t="s">
        <v>109</v>
      </c>
      <c r="C33" s="107"/>
      <c r="D33" s="106">
        <f>Appendix!E25</f>
        <v>13563</v>
      </c>
    </row>
    <row r="34" spans="1:6">
      <c r="A34" s="41"/>
      <c r="D34" s="15"/>
    </row>
    <row r="35" spans="1:6">
      <c r="A35" s="66">
        <v>2300</v>
      </c>
      <c r="B35" s="66" t="s">
        <v>108</v>
      </c>
      <c r="C35" s="70"/>
      <c r="D35" s="15"/>
    </row>
    <row r="36" spans="1:6">
      <c r="A36" s="66"/>
      <c r="B36" s="64" t="s">
        <v>107</v>
      </c>
      <c r="C36" s="79"/>
      <c r="D36" s="108">
        <f>Appendix!E47+Appendix!E51</f>
        <v>29427.65</v>
      </c>
    </row>
    <row r="37" spans="1:6">
      <c r="A37" s="41"/>
      <c r="D37" s="15"/>
    </row>
    <row r="38" spans="1:6">
      <c r="A38" s="41">
        <v>2500</v>
      </c>
      <c r="B38" s="41" t="s">
        <v>106</v>
      </c>
      <c r="D38" s="15"/>
    </row>
    <row r="39" spans="1:6">
      <c r="B39" s="39" t="s">
        <v>105</v>
      </c>
      <c r="C39" s="107"/>
      <c r="D39" s="106">
        <v>1997</v>
      </c>
    </row>
    <row r="40" spans="1:6">
      <c r="D40" s="15"/>
    </row>
    <row r="41" spans="1:6">
      <c r="B41" s="41" t="s">
        <v>104</v>
      </c>
      <c r="C41" s="36"/>
      <c r="D41" s="105">
        <f t="shared" ref="D41" si="0">D21+D30+D33+D36+D39</f>
        <v>66947.649999999994</v>
      </c>
    </row>
    <row r="42" spans="1:6">
      <c r="B42" s="97"/>
      <c r="D42" s="15"/>
    </row>
    <row r="43" spans="1:6" ht="13" thickBot="1">
      <c r="B43" s="41" t="s">
        <v>340</v>
      </c>
      <c r="C43" s="104"/>
      <c r="D43" s="16">
        <f t="shared" ref="D43" si="1">D11-D41</f>
        <v>-58697.649999999994</v>
      </c>
    </row>
    <row r="44" spans="1:6" ht="13" thickTop="1">
      <c r="B44" s="97"/>
      <c r="D44" s="15"/>
    </row>
    <row r="45" spans="1:6">
      <c r="B45" s="103"/>
      <c r="D45" s="15"/>
    </row>
    <row r="46" spans="1:6">
      <c r="B46" s="103"/>
      <c r="D46" s="15"/>
    </row>
    <row r="47" spans="1:6">
      <c r="B47" s="43" t="s">
        <v>29</v>
      </c>
      <c r="C47" s="102"/>
      <c r="D47" s="42"/>
      <c r="E47" s="42"/>
      <c r="F47" s="42"/>
    </row>
    <row r="48" spans="1:6" ht="17.25" customHeight="1">
      <c r="B48" s="101"/>
      <c r="C48" s="99"/>
      <c r="D48" s="99"/>
    </row>
    <row r="49" spans="2:4" ht="11.25" customHeight="1">
      <c r="B49" s="39" t="s">
        <v>331</v>
      </c>
      <c r="C49" s="99"/>
      <c r="D49" s="99"/>
    </row>
    <row r="50" spans="2:4">
      <c r="B50" s="253" t="s">
        <v>330</v>
      </c>
      <c r="C50" s="100"/>
      <c r="D50" s="99"/>
    </row>
    <row r="51" spans="2:4">
      <c r="B51" s="98"/>
    </row>
    <row r="52" spans="2:4">
      <c r="B52" s="98"/>
    </row>
    <row r="53" spans="2:4">
      <c r="B53" s="98"/>
    </row>
    <row r="54" spans="2:4">
      <c r="B54" s="98"/>
    </row>
    <row r="55" spans="2:4">
      <c r="B55" s="98"/>
    </row>
    <row r="56" spans="2:4">
      <c r="B56" s="97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4"/>
  <sheetViews>
    <sheetView workbookViewId="0">
      <selection activeCell="F1" sqref="F1:F2"/>
    </sheetView>
  </sheetViews>
  <sheetFormatPr baseColWidth="10" defaultColWidth="8.83203125" defaultRowHeight="12" x14ac:dyDescent="0"/>
  <cols>
    <col min="1" max="1" width="5.5" style="66" bestFit="1" customWidth="1"/>
    <col min="2" max="2" width="25.6640625" style="39" customWidth="1"/>
    <col min="3" max="3" width="6.6640625" style="96" customWidth="1"/>
    <col min="4" max="4" width="15.5" style="39" customWidth="1"/>
    <col min="5" max="16384" width="8.83203125" style="39"/>
  </cols>
  <sheetData>
    <row r="1" spans="1:6">
      <c r="B1" s="64"/>
      <c r="D1" s="67" t="s">
        <v>31</v>
      </c>
      <c r="F1" s="260" t="s">
        <v>31</v>
      </c>
    </row>
    <row r="2" spans="1:6">
      <c r="B2" s="68" t="s">
        <v>20</v>
      </c>
      <c r="D2" s="67" t="s">
        <v>305</v>
      </c>
      <c r="F2" s="260" t="s">
        <v>352</v>
      </c>
    </row>
    <row r="3" spans="1:6" s="64" customFormat="1">
      <c r="A3" s="66"/>
      <c r="B3" s="66"/>
      <c r="C3" s="70"/>
    </row>
    <row r="4" spans="1:6">
      <c r="C4" s="107" t="s">
        <v>29</v>
      </c>
    </row>
    <row r="5" spans="1:6">
      <c r="A5" s="66">
        <v>3000</v>
      </c>
      <c r="B5" s="43" t="s">
        <v>23</v>
      </c>
      <c r="C5" s="109"/>
      <c r="D5" s="43"/>
      <c r="E5" s="43"/>
      <c r="F5" s="43"/>
    </row>
    <row r="6" spans="1:6">
      <c r="B6" s="41" t="s">
        <v>25</v>
      </c>
    </row>
    <row r="7" spans="1:6">
      <c r="B7" s="64" t="s">
        <v>136</v>
      </c>
      <c r="C7" s="12"/>
      <c r="D7" s="15">
        <v>2250</v>
      </c>
      <c r="E7" s="15"/>
    </row>
    <row r="8" spans="1:6">
      <c r="B8" s="39" t="s">
        <v>120</v>
      </c>
      <c r="C8" s="12"/>
      <c r="D8" s="15">
        <v>250</v>
      </c>
    </row>
    <row r="9" spans="1:6">
      <c r="B9" s="39" t="s">
        <v>63</v>
      </c>
      <c r="C9" s="12">
        <v>1</v>
      </c>
      <c r="D9" s="15">
        <v>2500</v>
      </c>
    </row>
    <row r="10" spans="1:6">
      <c r="B10" s="41" t="s">
        <v>14</v>
      </c>
      <c r="C10" s="12"/>
      <c r="D10" s="48">
        <f>SUM(D7:D9)</f>
        <v>5000</v>
      </c>
    </row>
    <row r="11" spans="1:6">
      <c r="C11" s="12"/>
      <c r="D11" s="15"/>
    </row>
    <row r="12" spans="1:6">
      <c r="A12" s="66">
        <v>3100</v>
      </c>
      <c r="B12" s="43" t="s">
        <v>135</v>
      </c>
      <c r="C12" s="111"/>
      <c r="D12" s="77"/>
      <c r="E12" s="77"/>
      <c r="F12" s="77"/>
    </row>
    <row r="13" spans="1:6" s="64" customFormat="1">
      <c r="A13" s="66"/>
      <c r="B13" s="41" t="s">
        <v>28</v>
      </c>
      <c r="C13" s="113"/>
      <c r="D13" s="49">
        <v>0</v>
      </c>
    </row>
    <row r="14" spans="1:6" s="64" customFormat="1">
      <c r="A14" s="66"/>
      <c r="B14" s="66"/>
      <c r="C14" s="113"/>
      <c r="D14" s="49"/>
    </row>
    <row r="15" spans="1:6">
      <c r="B15" s="41" t="s">
        <v>25</v>
      </c>
      <c r="C15" s="12"/>
      <c r="D15" s="15"/>
    </row>
    <row r="16" spans="1:6">
      <c r="B16" s="39" t="s">
        <v>134</v>
      </c>
      <c r="C16" s="12"/>
      <c r="D16" s="15">
        <f>1000*1.03</f>
        <v>1030</v>
      </c>
    </row>
    <row r="17" spans="1:6">
      <c r="B17" s="39" t="s">
        <v>115</v>
      </c>
      <c r="C17" s="12"/>
      <c r="D17" s="15">
        <v>2000</v>
      </c>
    </row>
    <row r="18" spans="1:6">
      <c r="B18" s="41" t="s">
        <v>128</v>
      </c>
      <c r="C18" s="12"/>
      <c r="D18" s="48">
        <f>SUM(D16+D17)</f>
        <v>3030</v>
      </c>
    </row>
    <row r="19" spans="1:6">
      <c r="C19" s="12"/>
      <c r="D19" s="15"/>
    </row>
    <row r="20" spans="1:6">
      <c r="C20" s="12"/>
      <c r="D20" s="15"/>
    </row>
    <row r="21" spans="1:6">
      <c r="A21" s="66">
        <v>3600</v>
      </c>
      <c r="B21" s="43" t="s">
        <v>130</v>
      </c>
      <c r="C21" s="111"/>
      <c r="D21" s="77"/>
      <c r="E21" s="77"/>
      <c r="F21" s="77"/>
    </row>
    <row r="22" spans="1:6">
      <c r="B22" s="41" t="s">
        <v>28</v>
      </c>
      <c r="C22" s="12"/>
      <c r="D22" s="112">
        <v>3260</v>
      </c>
    </row>
    <row r="23" spans="1:6">
      <c r="B23" s="41"/>
      <c r="C23" s="12"/>
      <c r="D23" s="15"/>
    </row>
    <row r="24" spans="1:6">
      <c r="B24" s="41" t="s">
        <v>25</v>
      </c>
      <c r="C24" s="12"/>
      <c r="D24" s="15"/>
    </row>
    <row r="25" spans="1:6">
      <c r="B25" s="39" t="s">
        <v>124</v>
      </c>
      <c r="C25" s="12"/>
      <c r="D25" s="49">
        <v>600</v>
      </c>
    </row>
    <row r="26" spans="1:6">
      <c r="B26" s="39" t="s">
        <v>129</v>
      </c>
      <c r="C26" s="12"/>
      <c r="D26" s="15">
        <v>750</v>
      </c>
    </row>
    <row r="27" spans="1:6">
      <c r="B27" s="39" t="s">
        <v>115</v>
      </c>
      <c r="C27" s="12"/>
      <c r="D27" s="15">
        <v>250</v>
      </c>
    </row>
    <row r="28" spans="1:6">
      <c r="B28" s="41" t="s">
        <v>128</v>
      </c>
      <c r="C28" s="12"/>
      <c r="D28" s="48">
        <f>D22-D25-D26-D27</f>
        <v>1660</v>
      </c>
    </row>
    <row r="29" spans="1:6">
      <c r="C29" s="12"/>
      <c r="D29" s="15"/>
    </row>
    <row r="30" spans="1:6">
      <c r="A30" s="66">
        <v>3700</v>
      </c>
      <c r="B30" s="43" t="s">
        <v>127</v>
      </c>
      <c r="C30" s="111"/>
      <c r="D30" s="77"/>
      <c r="E30" s="77"/>
      <c r="F30" s="77"/>
    </row>
    <row r="31" spans="1:6">
      <c r="B31" s="66" t="s">
        <v>28</v>
      </c>
      <c r="C31" s="12"/>
      <c r="D31" s="112"/>
    </row>
    <row r="32" spans="1:6">
      <c r="D32" s="15"/>
    </row>
    <row r="33" spans="1:6">
      <c r="B33" s="41" t="s">
        <v>25</v>
      </c>
      <c r="C33" s="12"/>
      <c r="D33" s="15"/>
    </row>
    <row r="34" spans="1:6">
      <c r="B34" s="39" t="s">
        <v>55</v>
      </c>
      <c r="C34" s="12"/>
      <c r="D34" s="15">
        <v>300</v>
      </c>
    </row>
    <row r="35" spans="1:6">
      <c r="B35" s="39" t="s">
        <v>115</v>
      </c>
      <c r="C35" s="12"/>
      <c r="D35" s="15">
        <v>800</v>
      </c>
    </row>
    <row r="36" spans="1:6">
      <c r="B36" s="39" t="s">
        <v>126</v>
      </c>
      <c r="C36" s="12"/>
      <c r="D36" s="15">
        <v>0</v>
      </c>
    </row>
    <row r="37" spans="1:6">
      <c r="B37" s="39" t="s">
        <v>124</v>
      </c>
      <c r="C37" s="12"/>
      <c r="D37" s="15">
        <f>1000*1.03</f>
        <v>1030</v>
      </c>
    </row>
    <row r="38" spans="1:6">
      <c r="B38" s="41" t="s">
        <v>125</v>
      </c>
      <c r="C38" s="12"/>
      <c r="D38" s="48">
        <f>SUM(D34:D37)</f>
        <v>2130</v>
      </c>
    </row>
    <row r="39" spans="1:6">
      <c r="C39" s="12"/>
      <c r="D39" s="15"/>
    </row>
    <row r="40" spans="1:6">
      <c r="C40" s="12"/>
      <c r="D40" s="20"/>
    </row>
    <row r="41" spans="1:6">
      <c r="A41" s="66">
        <v>3900</v>
      </c>
      <c r="B41" s="43" t="s">
        <v>123</v>
      </c>
      <c r="C41" s="111"/>
      <c r="D41" s="77"/>
      <c r="E41" s="77"/>
      <c r="F41" s="77"/>
    </row>
    <row r="42" spans="1:6">
      <c r="B42" s="41" t="s">
        <v>25</v>
      </c>
      <c r="C42" s="12"/>
      <c r="D42" s="15"/>
    </row>
    <row r="43" spans="1:6">
      <c r="B43" s="39" t="s">
        <v>74</v>
      </c>
      <c r="C43" s="12"/>
      <c r="D43" s="110">
        <v>5000</v>
      </c>
    </row>
    <row r="44" spans="1:6">
      <c r="C44" s="12"/>
      <c r="D44" s="15"/>
    </row>
    <row r="45" spans="1:6">
      <c r="C45" s="12"/>
      <c r="D45" s="15"/>
    </row>
    <row r="46" spans="1:6">
      <c r="B46" s="41" t="s">
        <v>26</v>
      </c>
      <c r="C46" s="12"/>
      <c r="D46" s="15">
        <f>Finance!D16+D22+D31</f>
        <v>8760</v>
      </c>
    </row>
    <row r="47" spans="1:6">
      <c r="B47" s="41" t="s">
        <v>14</v>
      </c>
      <c r="D47" s="15">
        <f>D10+D18+Finance!D19+D25+D26+D38+D27+Finance!D20+D43</f>
        <v>21560</v>
      </c>
    </row>
    <row r="48" spans="1:6" ht="13" thickBot="1">
      <c r="B48" s="41" t="s">
        <v>340</v>
      </c>
      <c r="C48" s="107"/>
      <c r="D48" s="72">
        <f t="shared" ref="D48" si="0">D46-D47</f>
        <v>-12800</v>
      </c>
    </row>
    <row r="49" spans="2:6" ht="13" thickTop="1"/>
    <row r="50" spans="2:6">
      <c r="B50" s="43" t="s">
        <v>29</v>
      </c>
      <c r="C50" s="102"/>
      <c r="D50" s="42"/>
      <c r="E50" s="42"/>
      <c r="F50" s="42"/>
    </row>
    <row r="51" spans="2:6">
      <c r="B51" s="96" t="s">
        <v>341</v>
      </c>
      <c r="C51" s="39"/>
    </row>
    <row r="52" spans="2:6">
      <c r="B52" s="96"/>
      <c r="C52" s="39"/>
    </row>
    <row r="53" spans="2:6">
      <c r="B53" s="96"/>
      <c r="C53" s="39"/>
    </row>
    <row r="54" spans="2:6">
      <c r="B54" s="96"/>
      <c r="C54" s="39"/>
    </row>
  </sheetData>
  <pageMargins left="0.75" right="0.75" top="1" bottom="1" header="0.5" footer="0.5"/>
  <pageSetup orientation="portrait" copies="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2"/>
  <sheetViews>
    <sheetView workbookViewId="0">
      <selection activeCell="F1" sqref="F1:F2"/>
    </sheetView>
  </sheetViews>
  <sheetFormatPr baseColWidth="10" defaultColWidth="8.83203125" defaultRowHeight="12" x14ac:dyDescent="0"/>
  <cols>
    <col min="1" max="1" width="5.1640625" style="39" bestFit="1" customWidth="1"/>
    <col min="2" max="2" width="37.5" style="39" bestFit="1" customWidth="1"/>
    <col min="3" max="3" width="6.1640625" style="96" bestFit="1" customWidth="1"/>
    <col min="4" max="4" width="15.6640625" style="39" customWidth="1"/>
    <col min="5" max="16384" width="8.83203125" style="39"/>
  </cols>
  <sheetData>
    <row r="1" spans="1:6">
      <c r="D1" s="67" t="s">
        <v>31</v>
      </c>
      <c r="F1" s="262" t="s">
        <v>31</v>
      </c>
    </row>
    <row r="2" spans="1:6">
      <c r="A2" s="41"/>
      <c r="B2" s="68" t="s">
        <v>155</v>
      </c>
      <c r="D2" s="67" t="s">
        <v>305</v>
      </c>
      <c r="F2" s="262" t="s">
        <v>352</v>
      </c>
    </row>
    <row r="3" spans="1:6">
      <c r="B3" s="41"/>
      <c r="C3" s="107" t="s">
        <v>29</v>
      </c>
    </row>
    <row r="4" spans="1:6">
      <c r="B4" s="43" t="s">
        <v>25</v>
      </c>
      <c r="C4" s="109"/>
      <c r="D4" s="43"/>
      <c r="E4" s="43"/>
      <c r="F4" s="43"/>
    </row>
    <row r="5" spans="1:6">
      <c r="A5" s="41">
        <v>4000</v>
      </c>
      <c r="B5" s="41" t="s">
        <v>154</v>
      </c>
    </row>
    <row r="6" spans="1:6" ht="15" customHeight="1">
      <c r="A6" s="41"/>
      <c r="B6" s="64" t="s">
        <v>320</v>
      </c>
      <c r="C6" s="70">
        <v>1</v>
      </c>
      <c r="D6" s="49">
        <f>(3750*1.03)+(250*1.03)</f>
        <v>4120</v>
      </c>
      <c r="E6" s="254"/>
    </row>
    <row r="7" spans="1:6" ht="15" customHeight="1">
      <c r="A7" s="41"/>
      <c r="B7" s="64" t="s">
        <v>153</v>
      </c>
      <c r="C7" s="70"/>
      <c r="D7" s="49">
        <v>2000</v>
      </c>
    </row>
    <row r="8" spans="1:6" ht="15" customHeight="1">
      <c r="A8" s="41"/>
      <c r="B8" s="39" t="s">
        <v>152</v>
      </c>
      <c r="D8" s="15">
        <f>750*1.03</f>
        <v>772.5</v>
      </c>
    </row>
    <row r="9" spans="1:6">
      <c r="A9" s="41"/>
      <c r="B9" s="39" t="s">
        <v>151</v>
      </c>
      <c r="D9" s="15">
        <f>500*1.03</f>
        <v>515</v>
      </c>
    </row>
    <row r="10" spans="1:6">
      <c r="A10" s="41"/>
      <c r="B10" s="39" t="s">
        <v>150</v>
      </c>
      <c r="D10" s="15">
        <f>750*1.03</f>
        <v>772.5</v>
      </c>
    </row>
    <row r="11" spans="1:6">
      <c r="A11" s="41"/>
      <c r="B11" s="39" t="s">
        <v>149</v>
      </c>
      <c r="D11" s="15">
        <f>2250*1.03</f>
        <v>2317.5</v>
      </c>
    </row>
    <row r="12" spans="1:6">
      <c r="A12" s="41"/>
      <c r="B12" s="39" t="s">
        <v>148</v>
      </c>
      <c r="D12" s="15">
        <v>1500</v>
      </c>
    </row>
    <row r="13" spans="1:6">
      <c r="A13" s="41"/>
      <c r="B13" s="39" t="s">
        <v>147</v>
      </c>
      <c r="D13" s="15">
        <v>150</v>
      </c>
    </row>
    <row r="14" spans="1:6">
      <c r="A14" s="41"/>
      <c r="B14" s="39" t="s">
        <v>146</v>
      </c>
      <c r="D14" s="15">
        <v>500</v>
      </c>
    </row>
    <row r="15" spans="1:6">
      <c r="A15" s="41"/>
      <c r="B15" s="41" t="s">
        <v>145</v>
      </c>
      <c r="C15" s="36"/>
      <c r="D15" s="48">
        <f>SUM(D6:D14)</f>
        <v>12647.5</v>
      </c>
    </row>
    <row r="16" spans="1:6">
      <c r="A16" s="41"/>
      <c r="D16" s="15"/>
    </row>
    <row r="17" spans="1:6">
      <c r="A17" s="41">
        <v>4100</v>
      </c>
      <c r="B17" s="43" t="s">
        <v>144</v>
      </c>
      <c r="C17" s="102"/>
      <c r="D17" s="28"/>
      <c r="E17" s="28"/>
      <c r="F17" s="28"/>
    </row>
    <row r="18" spans="1:6">
      <c r="A18" s="41"/>
      <c r="B18" s="39" t="s">
        <v>143</v>
      </c>
      <c r="C18" s="107"/>
      <c r="D18" s="106">
        <v>2000</v>
      </c>
    </row>
    <row r="19" spans="1:6">
      <c r="A19" s="41"/>
      <c r="D19" s="15"/>
    </row>
    <row r="20" spans="1:6">
      <c r="A20" s="41">
        <v>4200</v>
      </c>
      <c r="B20" s="43" t="s">
        <v>142</v>
      </c>
      <c r="C20" s="102"/>
      <c r="D20" s="28"/>
      <c r="E20" s="28"/>
      <c r="F20" s="28"/>
    </row>
    <row r="21" spans="1:6">
      <c r="A21" s="41"/>
      <c r="B21" s="64" t="s">
        <v>141</v>
      </c>
      <c r="D21" s="15">
        <f>500*1.03</f>
        <v>515</v>
      </c>
      <c r="E21" s="254"/>
    </row>
    <row r="22" spans="1:6">
      <c r="A22" s="41"/>
      <c r="B22" s="64" t="s">
        <v>140</v>
      </c>
      <c r="D22" s="15">
        <f>1250*1.03</f>
        <v>1287.5</v>
      </c>
    </row>
    <row r="23" spans="1:6">
      <c r="A23" s="41"/>
      <c r="B23" s="64" t="s">
        <v>139</v>
      </c>
      <c r="C23" s="117"/>
      <c r="D23" s="15">
        <f>1500*1.03</f>
        <v>1545</v>
      </c>
    </row>
    <row r="24" spans="1:6">
      <c r="A24" s="41"/>
      <c r="B24" s="66" t="s">
        <v>138</v>
      </c>
      <c r="C24" s="119"/>
      <c r="D24" s="48">
        <f>SUM(D21:D23)</f>
        <v>3347.5</v>
      </c>
    </row>
    <row r="25" spans="1:6">
      <c r="B25" s="41"/>
      <c r="C25" s="117"/>
      <c r="D25" s="15"/>
    </row>
    <row r="26" spans="1:6" ht="13" thickBot="1">
      <c r="B26" s="41" t="s">
        <v>137</v>
      </c>
      <c r="C26" s="118"/>
      <c r="D26" s="16">
        <f t="shared" ref="D26" si="0">D15+D18+D24</f>
        <v>17995</v>
      </c>
    </row>
    <row r="27" spans="1:6" ht="13" thickTop="1">
      <c r="C27" s="117"/>
    </row>
    <row r="28" spans="1:6">
      <c r="B28" s="43" t="s">
        <v>29</v>
      </c>
      <c r="C28" s="116"/>
      <c r="D28" s="42"/>
      <c r="E28" s="42"/>
      <c r="F28" s="42"/>
    </row>
    <row r="29" spans="1:6">
      <c r="B29" s="115"/>
      <c r="C29" s="251"/>
    </row>
    <row r="30" spans="1:6" ht="30.75" customHeight="1">
      <c r="B30" s="115"/>
      <c r="C30" s="251"/>
    </row>
    <row r="31" spans="1:6" ht="12.75" customHeight="1">
      <c r="C31" s="100"/>
    </row>
    <row r="32" spans="1:6" ht="12.75" customHeight="1">
      <c r="C32" s="114"/>
    </row>
  </sheetData>
  <pageMargins left="0.75" right="0.75" top="1" bottom="1" header="0.5" footer="0.5"/>
  <pageSetup orientation="portrait"/>
  <headerFooter alignWithMargins="0"/>
  <ignoredErrors>
    <ignoredError sqref="D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8"/>
  <sheetViews>
    <sheetView workbookViewId="0">
      <selection activeCell="F1" sqref="F1:F2"/>
    </sheetView>
  </sheetViews>
  <sheetFormatPr baseColWidth="10" defaultColWidth="8.83203125" defaultRowHeight="12" x14ac:dyDescent="0"/>
  <cols>
    <col min="1" max="1" width="6" style="120" bestFit="1" customWidth="1"/>
    <col min="2" max="2" width="25.6640625" style="120" customWidth="1"/>
    <col min="3" max="3" width="6.5" style="120" customWidth="1"/>
    <col min="4" max="4" width="14.1640625" style="120" customWidth="1"/>
    <col min="5" max="16384" width="8.83203125" style="120"/>
  </cols>
  <sheetData>
    <row r="1" spans="1:6">
      <c r="C1" s="121"/>
      <c r="D1" s="67" t="s">
        <v>31</v>
      </c>
      <c r="F1" s="260" t="s">
        <v>31</v>
      </c>
    </row>
    <row r="2" spans="1:6">
      <c r="A2" s="133"/>
      <c r="B2" s="139" t="s">
        <v>179</v>
      </c>
      <c r="C2" s="138"/>
      <c r="D2" s="67" t="s">
        <v>305</v>
      </c>
      <c r="F2" s="260" t="s">
        <v>352</v>
      </c>
    </row>
    <row r="3" spans="1:6">
      <c r="B3" s="133"/>
      <c r="C3" s="138" t="s">
        <v>29</v>
      </c>
    </row>
    <row r="4" spans="1:6">
      <c r="B4" s="129" t="s">
        <v>25</v>
      </c>
      <c r="C4" s="137"/>
      <c r="D4" s="129"/>
      <c r="E4" s="129"/>
      <c r="F4" s="129"/>
    </row>
    <row r="5" spans="1:6">
      <c r="A5" s="133">
        <v>5000</v>
      </c>
      <c r="B5" s="133" t="s">
        <v>23</v>
      </c>
      <c r="C5" s="121"/>
    </row>
    <row r="6" spans="1:6">
      <c r="B6" s="120" t="s">
        <v>178</v>
      </c>
      <c r="C6" s="121"/>
      <c r="D6" s="131">
        <f>1000*1.03</f>
        <v>1030</v>
      </c>
    </row>
    <row r="7" spans="1:6">
      <c r="B7" s="136" t="s">
        <v>177</v>
      </c>
      <c r="C7" s="121"/>
      <c r="D7" s="131">
        <v>1000</v>
      </c>
    </row>
    <row r="8" spans="1:6">
      <c r="B8" s="120" t="s">
        <v>55</v>
      </c>
      <c r="C8" s="121"/>
      <c r="D8" s="131">
        <v>2500</v>
      </c>
    </row>
    <row r="9" spans="1:6">
      <c r="B9" s="120" t="s">
        <v>176</v>
      </c>
      <c r="C9" s="121"/>
      <c r="D9" s="131">
        <v>500</v>
      </c>
    </row>
    <row r="10" spans="1:6">
      <c r="B10" s="120" t="s">
        <v>175</v>
      </c>
      <c r="C10" s="121"/>
      <c r="D10" s="135">
        <f>64970*1.03</f>
        <v>66919.100000000006</v>
      </c>
    </row>
    <row r="11" spans="1:6">
      <c r="B11" s="120" t="s">
        <v>174</v>
      </c>
      <c r="C11" s="121"/>
      <c r="D11" s="131">
        <v>6500</v>
      </c>
    </row>
    <row r="12" spans="1:6">
      <c r="B12" s="120" t="s">
        <v>126</v>
      </c>
      <c r="C12" s="121"/>
      <c r="D12" s="131">
        <v>1500</v>
      </c>
    </row>
    <row r="13" spans="1:6">
      <c r="B13" s="120" t="s">
        <v>173</v>
      </c>
      <c r="C13" s="121"/>
      <c r="D13" s="131">
        <f>(30.3*7)*12</f>
        <v>2545.1999999999998</v>
      </c>
    </row>
    <row r="14" spans="1:6">
      <c r="B14" s="120" t="s">
        <v>120</v>
      </c>
      <c r="D14" s="131">
        <v>150</v>
      </c>
    </row>
    <row r="15" spans="1:6">
      <c r="B15" s="120" t="s">
        <v>171</v>
      </c>
      <c r="D15" s="131">
        <v>1500</v>
      </c>
    </row>
    <row r="16" spans="1:6">
      <c r="B16" s="120" t="s">
        <v>170</v>
      </c>
      <c r="D16" s="131">
        <f>400*1.03</f>
        <v>412</v>
      </c>
    </row>
    <row r="17" spans="1:4">
      <c r="B17" s="120" t="s">
        <v>169</v>
      </c>
      <c r="D17" s="131">
        <v>500</v>
      </c>
    </row>
    <row r="18" spans="1:4">
      <c r="B18" s="120" t="s">
        <v>43</v>
      </c>
      <c r="D18" s="131">
        <v>8500</v>
      </c>
    </row>
    <row r="19" spans="1:4">
      <c r="B19" s="133" t="s">
        <v>168</v>
      </c>
      <c r="D19" s="134">
        <f>SUM(D6:D18)</f>
        <v>93556.3</v>
      </c>
    </row>
    <row r="20" spans="1:4">
      <c r="D20" s="131"/>
    </row>
    <row r="21" spans="1:4">
      <c r="A21" s="133">
        <v>5100</v>
      </c>
      <c r="B21" s="133" t="s">
        <v>167</v>
      </c>
      <c r="D21" s="131"/>
    </row>
    <row r="22" spans="1:4">
      <c r="B22" s="120" t="s">
        <v>166</v>
      </c>
      <c r="D22" s="105">
        <v>5000</v>
      </c>
    </row>
    <row r="23" spans="1:4">
      <c r="D23" s="131"/>
    </row>
    <row r="24" spans="1:4">
      <c r="A24" s="133">
        <v>5200</v>
      </c>
      <c r="B24" s="133" t="s">
        <v>165</v>
      </c>
      <c r="D24" s="131"/>
    </row>
    <row r="25" spans="1:4">
      <c r="B25" s="120" t="s">
        <v>164</v>
      </c>
      <c r="D25" s="105">
        <v>1500</v>
      </c>
    </row>
    <row r="26" spans="1:4">
      <c r="D26" s="131"/>
    </row>
    <row r="27" spans="1:4">
      <c r="A27" s="133">
        <v>5400</v>
      </c>
      <c r="B27" s="133" t="s">
        <v>163</v>
      </c>
      <c r="D27" s="131"/>
    </row>
    <row r="28" spans="1:4">
      <c r="A28" s="133"/>
      <c r="B28" s="120" t="s">
        <v>160</v>
      </c>
      <c r="D28" s="131">
        <f>26090</f>
        <v>26090</v>
      </c>
    </row>
    <row r="29" spans="1:4">
      <c r="A29" s="133"/>
      <c r="B29" s="120" t="s">
        <v>159</v>
      </c>
      <c r="D29" s="131">
        <v>4000</v>
      </c>
    </row>
    <row r="30" spans="1:4">
      <c r="A30" s="133"/>
      <c r="B30" s="133" t="s">
        <v>162</v>
      </c>
      <c r="D30" s="134">
        <f>SUM(D28:D29)</f>
        <v>30090</v>
      </c>
    </row>
    <row r="31" spans="1:4">
      <c r="A31" s="133"/>
      <c r="D31" s="131"/>
    </row>
    <row r="32" spans="1:4">
      <c r="A32" s="133">
        <v>5500</v>
      </c>
      <c r="B32" s="133" t="s">
        <v>161</v>
      </c>
      <c r="D32" s="131"/>
    </row>
    <row r="33" spans="2:6">
      <c r="B33" s="120" t="s">
        <v>160</v>
      </c>
      <c r="D33" s="131">
        <v>13000</v>
      </c>
    </row>
    <row r="34" spans="2:6">
      <c r="B34" s="120" t="s">
        <v>159</v>
      </c>
      <c r="D34" s="131">
        <v>8250</v>
      </c>
    </row>
    <row r="35" spans="2:6">
      <c r="B35" s="120" t="s">
        <v>158</v>
      </c>
      <c r="D35" s="131">
        <v>0</v>
      </c>
    </row>
    <row r="36" spans="2:6">
      <c r="B36" s="133" t="s">
        <v>157</v>
      </c>
      <c r="D36" s="134">
        <f>SUM(D33:D35)</f>
        <v>21250</v>
      </c>
    </row>
    <row r="37" spans="2:6">
      <c r="D37" s="131"/>
    </row>
    <row r="38" spans="2:6" ht="13" thickBot="1">
      <c r="B38" s="133" t="s">
        <v>156</v>
      </c>
      <c r="C38" s="132"/>
      <c r="D38" s="130">
        <f t="shared" ref="D38" si="0">D19+D22+D25+D30+D36</f>
        <v>151396.29999999999</v>
      </c>
    </row>
    <row r="39" spans="2:6" ht="13" thickTop="1">
      <c r="C39" s="121"/>
    </row>
    <row r="40" spans="2:6">
      <c r="B40" s="129" t="s">
        <v>29</v>
      </c>
      <c r="C40" s="128"/>
      <c r="D40" s="127"/>
      <c r="E40" s="127"/>
      <c r="F40" s="127"/>
    </row>
    <row r="41" spans="2:6" ht="30" customHeight="1">
      <c r="B41" s="123"/>
      <c r="C41" s="252"/>
    </row>
    <row r="42" spans="2:6">
      <c r="B42" s="126"/>
    </row>
    <row r="43" spans="2:6" ht="12.75" customHeight="1">
      <c r="B43" s="126"/>
      <c r="C43" s="125"/>
    </row>
    <row r="44" spans="2:6" ht="12.75" customHeight="1">
      <c r="B44" s="124"/>
      <c r="C44" s="252"/>
    </row>
    <row r="45" spans="2:6">
      <c r="B45" s="123"/>
      <c r="C45" s="252"/>
    </row>
    <row r="46" spans="2:6">
      <c r="B46" s="123"/>
      <c r="C46" s="252"/>
    </row>
    <row r="47" spans="2:6" ht="12.75" customHeight="1">
      <c r="B47" s="123"/>
      <c r="C47" s="252"/>
    </row>
    <row r="48" spans="2:6">
      <c r="B48" s="122"/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Cover Page</vt:lpstr>
      <vt:lpstr>Fee Breakdown</vt:lpstr>
      <vt:lpstr>Summary</vt:lpstr>
      <vt:lpstr>General Operations</vt:lpstr>
      <vt:lpstr>Activities &amp; Events</vt:lpstr>
      <vt:lpstr>Communications</vt:lpstr>
      <vt:lpstr>Union Services</vt:lpstr>
      <vt:lpstr>Elected Rep</vt:lpstr>
      <vt:lpstr>Executive</vt:lpstr>
      <vt:lpstr>Student Relations</vt:lpstr>
      <vt:lpstr>Finance</vt:lpstr>
      <vt:lpstr>DriveU</vt:lpstr>
      <vt:lpstr>Golden X Inn</vt:lpstr>
      <vt:lpstr>Info Desk- Acadian Lines</vt:lpstr>
      <vt:lpstr>Clothing Store</vt:lpstr>
      <vt:lpstr>Honorarium</vt:lpstr>
      <vt:lpstr>Appendix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Budget 2012-2013</dc:title>
  <dc:creator/>
  <cp:lastModifiedBy/>
  <dcterms:created xsi:type="dcterms:W3CDTF">2006-09-16T00:00:00Z</dcterms:created>
  <dcterms:modified xsi:type="dcterms:W3CDTF">2016-02-02T14:44:47Z</dcterms:modified>
</cp:coreProperties>
</file>