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127"/>
  <workbookPr showInkAnnotation="0" checkCompatibility="1" autoCompressPictures="0"/>
  <bookViews>
    <workbookView xWindow="4740" yWindow="260" windowWidth="20420" windowHeight="15020" tabRatio="936" activeTab="3"/>
  </bookViews>
  <sheets>
    <sheet name="Cover Page" sheetId="1" r:id="rId1"/>
    <sheet name="Student Fee Breakdown" sheetId="2" r:id="rId2"/>
    <sheet name="Over-all Summary" sheetId="3" r:id="rId3"/>
    <sheet name="General Operations" sheetId="4" r:id="rId4"/>
    <sheet name="Representative Council" sheetId="5" r:id="rId5"/>
    <sheet name="Executive" sheetId="6" r:id="rId6"/>
    <sheet name="Activities and Events Consolida" sheetId="8" r:id="rId7"/>
    <sheet name="Activities and Events 1" sheetId="7" r:id="rId8"/>
    <sheet name="Communications" sheetId="9" r:id="rId9"/>
    <sheet name="Residence Affairs" sheetId="10" r:id="rId10"/>
    <sheet name="External Affairs" sheetId="11" r:id="rId11"/>
    <sheet name="Finance" sheetId="12" r:id="rId12"/>
    <sheet name="SFRC" sheetId="13" r:id="rId13"/>
    <sheet name="Drive U" sheetId="14" r:id="rId14"/>
    <sheet name="Golden X Inn" sheetId="15" r:id="rId15"/>
    <sheet name="Info Desk" sheetId="16" r:id="rId16"/>
    <sheet name="CFXU" sheetId="17" r:id="rId17"/>
    <sheet name="XAVERIAN WEEKLY" sheetId="18" r:id="rId18"/>
    <sheet name="Honorarium Breakdown" sheetId="19" r:id="rId19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5" i="15" l="1"/>
  <c r="C33" i="3"/>
  <c r="C37" i="3"/>
  <c r="B12" i="5"/>
  <c r="B18" i="5"/>
  <c r="B12" i="15"/>
  <c r="C16" i="3"/>
  <c r="B7" i="17"/>
  <c r="C19" i="3"/>
  <c r="B9" i="18"/>
  <c r="C18" i="3"/>
  <c r="B8" i="16"/>
  <c r="C17" i="3"/>
  <c r="B7" i="6"/>
  <c r="C8" i="3"/>
  <c r="C11" i="3"/>
  <c r="C20" i="3"/>
  <c r="B27" i="15"/>
  <c r="C24" i="3"/>
  <c r="C39" i="3"/>
  <c r="C18" i="18"/>
  <c r="C17" i="18"/>
  <c r="C13" i="18"/>
  <c r="C15" i="14"/>
  <c r="C27" i="15"/>
  <c r="D27" i="2"/>
  <c r="D26" i="2"/>
  <c r="C10" i="2"/>
  <c r="C9" i="2"/>
  <c r="C20" i="9"/>
  <c r="C22" i="9"/>
  <c r="C35" i="19"/>
  <c r="E35" i="19"/>
  <c r="F27" i="19"/>
  <c r="E27" i="19"/>
  <c r="E26" i="19"/>
  <c r="E29" i="19"/>
  <c r="E34" i="19"/>
  <c r="E33" i="19"/>
  <c r="E32" i="19"/>
  <c r="E31" i="19"/>
  <c r="D7" i="4"/>
  <c r="D8" i="4"/>
  <c r="D9" i="2"/>
  <c r="D10" i="2"/>
  <c r="D20" i="2"/>
  <c r="D29" i="2"/>
  <c r="C11" i="9"/>
  <c r="C24" i="9"/>
  <c r="C12" i="19"/>
  <c r="C12" i="5"/>
  <c r="D6" i="4"/>
  <c r="D15" i="4"/>
  <c r="D21" i="4"/>
  <c r="D39" i="4"/>
  <c r="C55" i="19"/>
  <c r="C67" i="19"/>
  <c r="C69" i="19"/>
  <c r="C62" i="19"/>
  <c r="C48" i="19"/>
  <c r="C43" i="19"/>
  <c r="C44" i="19"/>
  <c r="C28" i="19"/>
  <c r="C21" i="19"/>
  <c r="C9" i="18"/>
  <c r="D18" i="3"/>
  <c r="C7" i="17"/>
  <c r="D19" i="3"/>
  <c r="D6" i="3"/>
  <c r="D7" i="3"/>
  <c r="C31" i="7"/>
  <c r="C8" i="8"/>
  <c r="C121" i="7"/>
  <c r="C11" i="8"/>
  <c r="C105" i="7"/>
  <c r="C10" i="8"/>
  <c r="C13" i="8"/>
  <c r="D9" i="3"/>
  <c r="D10" i="3"/>
  <c r="D11" i="3"/>
  <c r="D12" i="3"/>
  <c r="D13" i="3"/>
  <c r="D14" i="3"/>
  <c r="D15" i="3"/>
  <c r="C12" i="15"/>
  <c r="D16" i="3"/>
  <c r="C8" i="16"/>
  <c r="D17" i="3"/>
  <c r="D20" i="3"/>
  <c r="B67" i="19"/>
  <c r="C19" i="18"/>
  <c r="D35" i="3"/>
  <c r="C15" i="17"/>
  <c r="C16" i="17"/>
  <c r="D36" i="3"/>
  <c r="D23" i="3"/>
  <c r="C18" i="5"/>
  <c r="D24" i="3"/>
  <c r="D27" i="3"/>
  <c r="C28" i="6"/>
  <c r="D25" i="3"/>
  <c r="D26" i="3"/>
  <c r="D28" i="3"/>
  <c r="D29" i="3"/>
  <c r="D30" i="3"/>
  <c r="D31" i="3"/>
  <c r="C21" i="14"/>
  <c r="D32" i="3"/>
  <c r="C45" i="15"/>
  <c r="D33" i="3"/>
  <c r="D34" i="3"/>
  <c r="D37" i="3"/>
  <c r="D39" i="3"/>
  <c r="C19" i="11"/>
  <c r="C14" i="11"/>
  <c r="C23" i="11"/>
  <c r="C20" i="2"/>
  <c r="C29" i="2"/>
  <c r="C6" i="4"/>
  <c r="C15" i="4"/>
  <c r="C6" i="3"/>
  <c r="C7" i="3"/>
  <c r="C9" i="3"/>
  <c r="B11" i="9"/>
  <c r="C10" i="3"/>
  <c r="C12" i="3"/>
  <c r="C13" i="3"/>
  <c r="B7" i="13"/>
  <c r="B7" i="14"/>
  <c r="C20" i="5"/>
  <c r="B12" i="19"/>
  <c r="D41" i="4"/>
  <c r="C41" i="4"/>
  <c r="C39" i="4"/>
  <c r="D21" i="2"/>
  <c r="D30" i="2"/>
  <c r="C27" i="2"/>
  <c r="C26" i="2"/>
  <c r="D23" i="2"/>
  <c r="D14" i="2"/>
  <c r="C21" i="18"/>
  <c r="B17" i="18"/>
  <c r="C18" i="17"/>
  <c r="C21" i="16"/>
  <c r="C19" i="16"/>
  <c r="C41" i="15"/>
  <c r="C47" i="15"/>
  <c r="C42" i="15"/>
  <c r="C39" i="15"/>
  <c r="C40" i="15"/>
  <c r="C38" i="15"/>
  <c r="C23" i="14"/>
  <c r="B23" i="14"/>
  <c r="C17" i="13"/>
  <c r="C7" i="13"/>
  <c r="C14" i="13"/>
  <c r="C18" i="12"/>
  <c r="B13" i="12"/>
  <c r="B16" i="12"/>
  <c r="B18" i="12"/>
  <c r="C16" i="12"/>
  <c r="C30" i="6"/>
  <c r="B30" i="6"/>
  <c r="C21" i="6"/>
  <c r="C25" i="11"/>
  <c r="B25" i="11"/>
  <c r="B31" i="19"/>
  <c r="B32" i="19"/>
  <c r="B35" i="19"/>
  <c r="B20" i="9"/>
  <c r="B22" i="9"/>
  <c r="B24" i="9"/>
  <c r="C23" i="10"/>
  <c r="C20" i="10"/>
  <c r="C18" i="10"/>
  <c r="B43" i="19"/>
  <c r="B11" i="10"/>
  <c r="B13" i="10"/>
  <c r="C13" i="10"/>
  <c r="B17" i="10"/>
  <c r="B18" i="10"/>
  <c r="B20" i="10"/>
  <c r="C26" i="8"/>
  <c r="C24" i="8"/>
  <c r="C23" i="8"/>
  <c r="C22" i="8"/>
  <c r="C21" i="8"/>
  <c r="C20" i="8"/>
  <c r="C19" i="8"/>
  <c r="C18" i="8"/>
  <c r="C9" i="8"/>
  <c r="C7" i="8"/>
  <c r="C148" i="7"/>
  <c r="C146" i="7"/>
  <c r="C139" i="7"/>
  <c r="C133" i="7"/>
  <c r="C131" i="7"/>
  <c r="C113" i="7"/>
  <c r="C115" i="7"/>
  <c r="C86" i="7"/>
  <c r="C96" i="7"/>
  <c r="C98" i="7"/>
  <c r="C47" i="7"/>
  <c r="C49" i="7"/>
  <c r="C10" i="7"/>
  <c r="C22" i="7"/>
  <c r="C24" i="7"/>
  <c r="D36" i="4"/>
  <c r="B12" i="17"/>
  <c r="B62" i="19"/>
  <c r="B15" i="17"/>
  <c r="B16" i="17"/>
  <c r="B18" i="17"/>
  <c r="B20" i="5"/>
  <c r="B15" i="14"/>
  <c r="B21" i="14"/>
  <c r="C16" i="2"/>
  <c r="B22" i="7"/>
  <c r="B113" i="7"/>
  <c r="B21" i="8"/>
  <c r="B47" i="7"/>
  <c r="B19" i="8"/>
  <c r="B18" i="8"/>
  <c r="B96" i="7"/>
  <c r="B20" i="8"/>
  <c r="B131" i="7"/>
  <c r="B22" i="8"/>
  <c r="B146" i="7"/>
  <c r="B23" i="8"/>
  <c r="B24" i="8"/>
  <c r="B10" i="7"/>
  <c r="B7" i="8"/>
  <c r="B31" i="7"/>
  <c r="B8" i="8"/>
  <c r="B86" i="7"/>
  <c r="B9" i="8"/>
  <c r="B105" i="7"/>
  <c r="B10" i="8"/>
  <c r="B121" i="7"/>
  <c r="B11" i="8"/>
  <c r="B139" i="7"/>
  <c r="B12" i="8"/>
  <c r="B13" i="8"/>
  <c r="B26" i="8"/>
  <c r="B14" i="11"/>
  <c r="B19" i="11"/>
  <c r="B23" i="11"/>
  <c r="B55" i="19"/>
  <c r="B48" i="19"/>
  <c r="B44" i="19"/>
  <c r="B28" i="19"/>
  <c r="B21" i="19"/>
  <c r="B19" i="16"/>
  <c r="B21" i="16"/>
  <c r="B38" i="15"/>
  <c r="B40" i="15"/>
  <c r="B41" i="15"/>
  <c r="B42" i="15"/>
  <c r="B39" i="15"/>
  <c r="B47" i="15"/>
  <c r="B18" i="18"/>
  <c r="B13" i="18"/>
  <c r="B19" i="18"/>
  <c r="C36" i="3"/>
  <c r="C27" i="3"/>
  <c r="B21" i="18"/>
  <c r="B14" i="13"/>
  <c r="B49" i="7"/>
  <c r="B21" i="6"/>
  <c r="B28" i="6"/>
  <c r="C26" i="3"/>
  <c r="C35" i="3"/>
  <c r="C28" i="3"/>
  <c r="C29" i="3"/>
  <c r="C30" i="3"/>
  <c r="C34" i="3"/>
  <c r="C23" i="3"/>
  <c r="C25" i="3"/>
  <c r="C31" i="3"/>
  <c r="C32" i="3"/>
  <c r="C21" i="2"/>
  <c r="C30" i="2"/>
  <c r="C8" i="4"/>
  <c r="C22" i="2"/>
  <c r="C23" i="2"/>
  <c r="B69" i="19"/>
  <c r="B17" i="13"/>
  <c r="B23" i="10"/>
  <c r="B148" i="7"/>
  <c r="B133" i="7"/>
  <c r="B115" i="7"/>
  <c r="B98" i="7"/>
  <c r="B24" i="7"/>
  <c r="C31" i="2"/>
  <c r="C14" i="2"/>
</calcChain>
</file>

<file path=xl/comments1.xml><?xml version="1.0" encoding="utf-8"?>
<comments xmlns="http://schemas.openxmlformats.org/spreadsheetml/2006/main">
  <authors>
    <author>Chad Hasegawa</author>
  </authors>
  <commentList>
    <comment ref="E4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UofA Fees = 193.42 without Summer
Mcmaster = 286.53 without H&amp;D</t>
        </r>
      </text>
    </comment>
    <comment ref="C13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Gotta Go</t>
        </r>
      </text>
    </comment>
    <comment ref="D16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Total Student Fees charged to student accounts (total not yet paid in full to SU)
   $632,557.76
# Student equivalent – use to estimate Fees for 2017-2018 = 4,081
# students who paid full $155.00 = 3784
# students who paid less than $155 = 1143 (between $15.51 &amp; $89.96 @ $5.17 per credit)
Student Assistance Program fee
Total charged to students = $29,454
# Students billed = 4,909</t>
        </r>
      </text>
    </comment>
    <comment ref="D18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Used for SAP fee as all students pay for it not just full time formula
</t>
        </r>
      </text>
    </comment>
    <comment ref="B25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Deadicated out of our SU General fee.
We don't ever see the money and distributed by Business Office</t>
        </r>
      </text>
    </comment>
  </commentList>
</comments>
</file>

<file path=xl/comments10.xml><?xml version="1.0" encoding="utf-8"?>
<comments xmlns="http://schemas.openxmlformats.org/spreadsheetml/2006/main">
  <authors>
    <author>Chad Hasegawa</author>
  </authors>
  <commentList>
    <comment ref="C12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Sage and Payroll License </t>
        </r>
      </text>
    </comment>
    <comment ref="C14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Could Be in Comms
</t>
        </r>
      </text>
    </comment>
  </commentList>
</comments>
</file>

<file path=xl/comments11.xml><?xml version="1.0" encoding="utf-8"?>
<comments xmlns="http://schemas.openxmlformats.org/spreadsheetml/2006/main">
  <authors>
    <author>Chad Hasegawa</author>
  </authors>
  <commentList>
    <comment ref="C12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Food, Equipment Supplies, ETC.</t>
        </r>
      </text>
    </comment>
  </commentList>
</comments>
</file>

<file path=xl/comments12.xml><?xml version="1.0" encoding="utf-8"?>
<comments xmlns="http://schemas.openxmlformats.org/spreadsheetml/2006/main">
  <authors>
    <author>Chad Hasegawa</author>
  </authors>
  <commentList>
    <comment ref="C15" authorId="0">
      <text>
        <r>
          <rPr>
            <b/>
            <sz val="9"/>
            <color indexed="81"/>
            <rFont val="Calibri"/>
            <family val="2"/>
          </rPr>
          <t xml:space="preserve">Chad Hasegawa:
New Schedule on thursdays and Saturdays -3hrs/week
</t>
        </r>
      </text>
    </comment>
  </commentList>
</comments>
</file>

<file path=xl/comments13.xml><?xml version="1.0" encoding="utf-8"?>
<comments xmlns="http://schemas.openxmlformats.org/spreadsheetml/2006/main">
  <authors>
    <author>Chad Hasegawa</author>
  </authors>
  <commentList>
    <comment ref="C27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 40% of Liqour Rev
avg Profit margin 60%
</t>
        </r>
      </text>
    </comment>
    <comment ref="C28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Includes all small accounts
Decorations, printing, office supplies, etc. </t>
        </r>
      </text>
    </comment>
    <comment ref="C33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to operations
</t>
        </r>
      </text>
    </comment>
    <comment ref="C34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to tranning </t>
        </r>
      </text>
    </comment>
  </commentList>
</comments>
</file>

<file path=xl/comments14.xml><?xml version="1.0" encoding="utf-8"?>
<comments xmlns="http://schemas.openxmlformats.org/spreadsheetml/2006/main">
  <authors>
    <author>Chad Hasegawa</author>
  </authors>
  <commentList>
    <comment ref="C14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1.4% increase plus raises for returners 
</t>
        </r>
      </text>
    </comment>
  </commentList>
</comments>
</file>

<file path=xl/comments15.xml><?xml version="1.0" encoding="utf-8"?>
<comments xmlns="http://schemas.openxmlformats.org/spreadsheetml/2006/main">
  <authors>
    <author>Chad Hasegawa</author>
  </authors>
  <commentList>
    <comment ref="B12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 Office Supplies       
 Repairs/Maintenance  
 Capital Expenditures </t>
        </r>
      </text>
    </comment>
    <comment ref="C12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 Office Supplies       
 Repairs/Maintenance  
 Capital Expenditures </t>
        </r>
      </text>
    </comment>
  </commentList>
</comments>
</file>

<file path=xl/comments16.xml><?xml version="1.0" encoding="utf-8"?>
<comments xmlns="http://schemas.openxmlformats.org/spreadsheetml/2006/main">
  <authors>
    <author>Chad Hasegawa</author>
  </authors>
  <commentList>
    <comment ref="B13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500 traning 
150 office supplies 
2500 confrence expense 
CUPE Fee 400</t>
        </r>
      </text>
    </comment>
    <comment ref="C13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500 traning 
150 office supplies 
2500 confrence expense 
CUPE Fee 400
1000 Equipment</t>
        </r>
      </text>
    </comment>
    <comment ref="C17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Increase price for inflation 
</t>
        </r>
      </text>
    </comment>
  </commentList>
</comments>
</file>

<file path=xl/comments17.xml><?xml version="1.0" encoding="utf-8"?>
<comments xmlns="http://schemas.openxmlformats.org/spreadsheetml/2006/main">
  <authors>
    <author>Chad Hasegawa</author>
  </authors>
  <commentList>
    <comment ref="C8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Same As Exectuive
</t>
        </r>
      </text>
    </comment>
    <comment ref="A32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 Social Media    $515 (2x3hrs/week)
 Photo Staff   $1,500 (Pool)
 PR   $258 (1x3hrs/week) 
 Graphic    $1,545 (2 x 9hrs/week)
 Video    $515 (1 x 6hrs/week)
 Inn   $258 (1x3hrs/week)</t>
        </r>
      </text>
    </comment>
    <comment ref="C52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Paid by H&amp;d plan admin fees
</t>
        </r>
      </text>
    </comment>
  </commentList>
</comments>
</file>

<file path=xl/comments2.xml><?xml version="1.0" encoding="utf-8"?>
<comments xmlns="http://schemas.openxmlformats.org/spreadsheetml/2006/main">
  <authors>
    <author>Chad Hasegawa</author>
  </authors>
  <commentList>
    <comment ref="D7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Estimated and including International Fee 
Increase reflects actuals going  to salaries for Adminstration
(1650 Students x $7.50) </t>
        </r>
      </text>
    </comment>
    <comment ref="D9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Endowment Sourced </t>
        </r>
      </text>
    </comment>
    <comment ref="D20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Anticipated to breakeven on Health and Dental Plan </t>
        </r>
      </text>
    </comment>
    <comment ref="D21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Gone up to reflect all student that pay this fee (full and part time)
</t>
        </r>
      </text>
    </comment>
    <comment ref="D25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Back to 3300 to represent actuals </t>
        </r>
      </text>
    </comment>
    <comment ref="D27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increased for anticipated student aid committee/ loan program </t>
        </r>
      </text>
    </comment>
    <comment ref="D29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New Lease and changing machiene </t>
        </r>
      </text>
    </comment>
    <comment ref="D30" authorId="0">
      <text>
        <r>
          <rPr>
            <b/>
            <sz val="9"/>
            <color indexed="81"/>
            <rFont val="Calibri"/>
            <family val="2"/>
          </rPr>
          <t>Chad</t>
        </r>
        <r>
          <rPr>
            <sz val="9"/>
            <color indexed="81"/>
            <rFont val="Calibri"/>
            <family val="2"/>
          </rPr>
          <t xml:space="preserve">
Dropped because of no Anticipated legal work outside regular checkup </t>
        </r>
      </text>
    </comment>
    <comment ref="D32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Full Time Staff PD
Amalgated with Campus trust   </t>
        </r>
      </text>
    </comment>
    <comment ref="D36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Increased for contractual obligations 
Includes 4 fulltime staff and one partime </t>
        </r>
      </text>
    </comment>
    <comment ref="D38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GET SEAN UNLIMITED  LONG DISTANCE</t>
        </r>
      </text>
    </comment>
  </commentList>
</comments>
</file>

<file path=xl/comments3.xml><?xml version="1.0" encoding="utf-8"?>
<comments xmlns="http://schemas.openxmlformats.org/spreadsheetml/2006/main">
  <authors>
    <author>Chad Hasegawa</author>
  </authors>
  <commentList>
    <comment ref="C12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2 new positions </t>
        </r>
      </text>
    </comment>
    <comment ref="C15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2 new positions and traing can be also taken out of operations. </t>
        </r>
      </text>
    </comment>
    <comment ref="C17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 Move To Exec All T-Shirt Expenses</t>
        </r>
      </text>
    </comment>
  </commentList>
</comments>
</file>

<file path=xl/comments4.xml><?xml version="1.0" encoding="utf-8"?>
<comments xmlns="http://schemas.openxmlformats.org/spreadsheetml/2006/main">
  <authors>
    <author>Chad Hasegawa</author>
  </authors>
  <commentList>
    <comment ref="C11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Moved to P.D.</t>
        </r>
      </text>
    </comment>
    <comment ref="C12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Moved to PD</t>
        </r>
      </text>
    </comment>
    <comment ref="C14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Increase For Chair Of Council Cell Phone Deduction </t>
        </r>
      </text>
    </comment>
    <comment ref="C15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 Depending on Wages (payroll taxes) </t>
        </r>
      </text>
    </comment>
    <comment ref="C20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Used For all thing regarding PD
Increased by Confrence Expense and Food Budget lines 
Includes leadership building with frank Aprox 7k-10k per year</t>
        </r>
      </text>
    </comment>
    <comment ref="C23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Yearly Awards Banquet external from Exec expenses </t>
        </r>
      </text>
    </comment>
    <comment ref="C24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Bringing in the Bystandard Coordinator </t>
        </r>
      </text>
    </comment>
    <comment ref="B25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$1500 From Council Budget </t>
        </r>
      </text>
    </comment>
    <comment ref="C25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Orientation SU Shirts for all employees </t>
        </r>
      </text>
    </comment>
    <comment ref="C26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New transition schedule (Does this include Leadership Summit? for Teams/ weekend transation  </t>
        </r>
      </text>
    </comment>
  </commentList>
</comments>
</file>

<file path=xl/comments5.xml><?xml version="1.0" encoding="utf-8"?>
<comments xmlns="http://schemas.openxmlformats.org/spreadsheetml/2006/main">
  <authors>
    <author>Chad Hasegawa</author>
  </authors>
  <commentList>
    <comment ref="C26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Increased Security in general A&amp;E and Grad
Rev. Lowered from Moved Sponsorshi[p </t>
        </r>
      </text>
    </comment>
  </commentList>
</comments>
</file>

<file path=xl/comments6.xml><?xml version="1.0" encoding="utf-8"?>
<comments xmlns="http://schemas.openxmlformats.org/spreadsheetml/2006/main">
  <authors>
    <author>Chad Hasegawa</author>
  </authors>
  <commentList>
    <comment ref="C17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- Previous year had unrealistic expecations for Security
- Aprox Super Sub Security = $1500 - 2000
- Not Relying on external groups to cover security like Houses. </t>
        </r>
      </text>
    </comment>
    <comment ref="C30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$18,000 dedicated to frosh week and $6000 moved to Comms for ongoing sponsorship ex. booth rentals, tv ads, etc. not necessarlytied to frosh week  </t>
        </r>
      </text>
    </comment>
    <comment ref="C36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Includes riders, Guest speakers, and non-production entertainment costs </t>
        </r>
      </text>
    </comment>
    <comment ref="C37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sound speakers, Decorations, Setup take down labour etc .(This is very general and easy to oversee)</t>
        </r>
      </text>
    </comment>
    <comment ref="C44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Mostly O-crew t-shirts </t>
        </r>
      </text>
    </comment>
    <comment ref="C45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Appreciation has been used on banquet related items but banquet usually cover by university </t>
        </r>
      </text>
    </comment>
    <comment ref="C90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Down $1000 to increase Production </t>
        </r>
      </text>
    </comment>
    <comment ref="C104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Sponsorship Combined on Comms. </t>
        </r>
      </text>
    </comment>
  </commentList>
</comments>
</file>

<file path=xl/comments7.xml><?xml version="1.0" encoding="utf-8"?>
<comments xmlns="http://schemas.openxmlformats.org/spreadsheetml/2006/main">
  <authors>
    <author>Chad Hasegawa</author>
  </authors>
  <commentList>
    <comment ref="C7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Inside Sub Ads (New Ad, Posters, TVs) </t>
        </r>
      </text>
    </comment>
    <comment ref="C8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New Marketing Team Revenue (Graphic Design, Film, Photography, Other)   </t>
        </r>
      </text>
    </comment>
    <comment ref="C9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Expected:
6k From Frosh Week
1.5k Calendar (Athletics)
4.5k Other (Drive U, Frost Week, X-Ring, Etc)
</t>
        </r>
      </text>
    </comment>
    <comment ref="A16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Former Ohlala</t>
        </r>
      </text>
    </comment>
    <comment ref="C18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2 managers @$1500/semester
</t>
        </r>
      </text>
    </comment>
    <comment ref="C21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Frosh Week Calendar </t>
        </r>
      </text>
    </comment>
  </commentList>
</comments>
</file>

<file path=xl/comments8.xml><?xml version="1.0" encoding="utf-8"?>
<comments xmlns="http://schemas.openxmlformats.org/spreadsheetml/2006/main">
  <authors>
    <author>Chad Hasegawa</author>
  </authors>
  <commentList>
    <comment ref="C17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Honourariums for OCL Sr. and OCL</t>
        </r>
      </text>
    </comment>
  </commentList>
</comments>
</file>

<file path=xl/comments9.xml><?xml version="1.0" encoding="utf-8"?>
<comments xmlns="http://schemas.openxmlformats.org/spreadsheetml/2006/main">
  <authors>
    <author>Chad Hasegawa</author>
  </authors>
  <commentList>
    <comment ref="C13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Leader Lab $250 x 2 (other Exec FromPD)
$500
Board retreat (325 x2)
 $650
AGM $0 (Covered by SNS)
Advococy Week (650 x 2) 
$1300
Trans.  Weekend (200 x 4) 
$800 (Includes Incoming) 
Travel Board round tables (150 x 4) (External 4 day Trips Food/travel) 
$600  
 </t>
        </r>
        <r>
          <rPr>
            <b/>
            <sz val="9"/>
            <color indexed="81"/>
            <rFont val="Calibri"/>
            <family val="2"/>
          </rPr>
          <t xml:space="preserve">These are luxuries, not necessities </t>
        </r>
        <r>
          <rPr>
            <sz val="9"/>
            <color indexed="81"/>
            <rFont val="Calibri"/>
            <family val="2"/>
          </rPr>
          <t xml:space="preserve"> </t>
        </r>
      </text>
    </comment>
    <comment ref="C18" authorId="0">
      <text>
        <r>
          <rPr>
            <b/>
            <sz val="9"/>
            <color indexed="81"/>
            <rFont val="Calibri"/>
            <family val="2"/>
          </rPr>
          <t>Chad Hasegawa:</t>
        </r>
        <r>
          <rPr>
            <sz val="9"/>
            <color indexed="81"/>
            <rFont val="Calibri"/>
            <family val="2"/>
          </rPr>
          <t xml:space="preserve">
Cost Control is crutial to stay withing budget on these large confrences </t>
        </r>
      </text>
    </comment>
  </commentList>
</comments>
</file>

<file path=xl/sharedStrings.xml><?xml version="1.0" encoding="utf-8"?>
<sst xmlns="http://schemas.openxmlformats.org/spreadsheetml/2006/main" count="567" uniqueCount="291">
  <si>
    <t>Percentage Increase</t>
  </si>
  <si>
    <t>Dollar Increase</t>
  </si>
  <si>
    <t xml:space="preserve">Proposed Student Fee per student </t>
  </si>
  <si>
    <t>SAP Fee</t>
  </si>
  <si>
    <t>Total Student Union Dues</t>
  </si>
  <si>
    <t>Total Student Fee Revenue Projected</t>
  </si>
  <si>
    <t>Total SAP Revenue Projected</t>
  </si>
  <si>
    <t>Total Capital Campaign Revenue Projected</t>
  </si>
  <si>
    <t>Total Student Union Dues Projected</t>
  </si>
  <si>
    <t>Dedicated Money</t>
  </si>
  <si>
    <t>WUSC</t>
  </si>
  <si>
    <t>Athletics</t>
  </si>
  <si>
    <t>Student Fees available for Operating Budget</t>
  </si>
  <si>
    <t>Student Fees available for SAP</t>
  </si>
  <si>
    <t xml:space="preserve">Student Fees available for Capital Campaign </t>
  </si>
  <si>
    <t>StFX Students' Union Budget 2016-2017</t>
  </si>
  <si>
    <t>Overall Summary</t>
  </si>
  <si>
    <t>Budget</t>
  </si>
  <si>
    <t xml:space="preserve">Actual </t>
  </si>
  <si>
    <t>Revenues</t>
  </si>
  <si>
    <t>2016-2017</t>
  </si>
  <si>
    <t>General</t>
  </si>
  <si>
    <t>Representative Council</t>
  </si>
  <si>
    <t>Executive Board</t>
  </si>
  <si>
    <t>Activities and Events</t>
  </si>
  <si>
    <t>Communications</t>
  </si>
  <si>
    <t>External</t>
  </si>
  <si>
    <t>Finance</t>
  </si>
  <si>
    <t>Student Food Resource Centre</t>
  </si>
  <si>
    <t>Drive U</t>
  </si>
  <si>
    <t>Golden X Inn</t>
  </si>
  <si>
    <t>Information Desk</t>
  </si>
  <si>
    <t>Xaverian Weekly</t>
  </si>
  <si>
    <t>CFXU</t>
  </si>
  <si>
    <t>Total Revenues</t>
  </si>
  <si>
    <t>Expenses</t>
  </si>
  <si>
    <t>Elected Representatives</t>
  </si>
  <si>
    <t>Total Expenses</t>
  </si>
  <si>
    <t>General Operations</t>
  </si>
  <si>
    <t>Health &amp; Dental Insurance Premiums</t>
  </si>
  <si>
    <t xml:space="preserve">Student Assistance Program </t>
  </si>
  <si>
    <t>Interest</t>
  </si>
  <si>
    <t>Rentals and Table Space</t>
  </si>
  <si>
    <t>Pharmasave/Convienence Store Revenues</t>
  </si>
  <si>
    <t>-</t>
  </si>
  <si>
    <t>University Contract Revenues</t>
  </si>
  <si>
    <t>Bank Machines</t>
  </si>
  <si>
    <t>Vending/ Pop Machines</t>
  </si>
  <si>
    <t>Audit Fees</t>
  </si>
  <si>
    <t>Health and Dental Insurance Premiums</t>
  </si>
  <si>
    <t>Student Union Bursaries</t>
  </si>
  <si>
    <t>Bad Debt Expense</t>
  </si>
  <si>
    <t>Bank Service Charges</t>
  </si>
  <si>
    <t>Depreciation-Equipment</t>
  </si>
  <si>
    <t>Insurance</t>
  </si>
  <si>
    <t>Lease - Photocopier</t>
  </si>
  <si>
    <t>Legal Fees</t>
  </si>
  <si>
    <t>Professional Development</t>
  </si>
  <si>
    <t>Campus Trust</t>
  </si>
  <si>
    <t>Association fees</t>
  </si>
  <si>
    <t>Repairs &amp; Maintenance</t>
  </si>
  <si>
    <t>Salaries and Benefits</t>
  </si>
  <si>
    <t>Capital Investment Expenditure</t>
  </si>
  <si>
    <t>Cell Phones: Full-Time Staff</t>
  </si>
  <si>
    <t>Group Fitness Pass</t>
  </si>
  <si>
    <t>Student Representative Council</t>
  </si>
  <si>
    <t>Honorarium</t>
  </si>
  <si>
    <t>Council Operations</t>
  </si>
  <si>
    <t>Training</t>
  </si>
  <si>
    <t>T-Shirts</t>
  </si>
  <si>
    <t>Conference</t>
  </si>
  <si>
    <t>Food</t>
  </si>
  <si>
    <t>Honorarium (7)</t>
  </si>
  <si>
    <t>Printing</t>
  </si>
  <si>
    <t>Telephone</t>
  </si>
  <si>
    <t>Cell Phones</t>
  </si>
  <si>
    <t>Employee Payroll Deductions</t>
  </si>
  <si>
    <t>Exec Operations</t>
  </si>
  <si>
    <t>Postage</t>
  </si>
  <si>
    <t>Total General Expenses</t>
  </si>
  <si>
    <t>Awards Banquet</t>
  </si>
  <si>
    <t>Transition Training</t>
  </si>
  <si>
    <t>Total Executive Expense</t>
  </si>
  <si>
    <t>GENERAL</t>
  </si>
  <si>
    <t>Ticket Sales</t>
  </si>
  <si>
    <t>Liquor Sales</t>
  </si>
  <si>
    <t>Bands &amp; Entertainment</t>
  </si>
  <si>
    <t>Production</t>
  </si>
  <si>
    <t>Security</t>
  </si>
  <si>
    <t>Decorations</t>
  </si>
  <si>
    <t xml:space="preserve">Printing - Tickets </t>
  </si>
  <si>
    <t>Rentals</t>
  </si>
  <si>
    <t>COCA Conference</t>
  </si>
  <si>
    <t>FROSH WEEK</t>
  </si>
  <si>
    <t>Frosh Kits and Ticket Sales</t>
  </si>
  <si>
    <t>Sponsorship</t>
  </si>
  <si>
    <t>Frosh Kit Products</t>
  </si>
  <si>
    <t>Printing-Tickets</t>
  </si>
  <si>
    <t>Frosh Mail Out</t>
  </si>
  <si>
    <t>O-Crew Chairs</t>
  </si>
  <si>
    <t>O-Crew Supplies</t>
  </si>
  <si>
    <t>O-Crew Appreciation</t>
  </si>
  <si>
    <t>International Week</t>
  </si>
  <si>
    <t>X-RING</t>
  </si>
  <si>
    <t>Supplies</t>
  </si>
  <si>
    <t>Printing - Tickets</t>
  </si>
  <si>
    <t>FROST WEEK</t>
  </si>
  <si>
    <t>Net Income from Frost Week</t>
  </si>
  <si>
    <t>GRADUATION</t>
  </si>
  <si>
    <t>Food Service</t>
  </si>
  <si>
    <t xml:space="preserve">Rental </t>
  </si>
  <si>
    <t>Wages</t>
  </si>
  <si>
    <t>Net Income from Graduation</t>
  </si>
  <si>
    <t>SOCIETIES</t>
  </si>
  <si>
    <t>Society Coordinator</t>
  </si>
  <si>
    <t>Society Operations</t>
  </si>
  <si>
    <t>Society Allocations</t>
  </si>
  <si>
    <t>Frosh Week</t>
  </si>
  <si>
    <t>X-Ring</t>
  </si>
  <si>
    <t>Frost Week</t>
  </si>
  <si>
    <t>Graduation</t>
  </si>
  <si>
    <t>Societies</t>
  </si>
  <si>
    <t xml:space="preserve">General </t>
  </si>
  <si>
    <t xml:space="preserve">Advertising </t>
  </si>
  <si>
    <t>Publications &amp; Printing</t>
  </si>
  <si>
    <t>Honorariums</t>
  </si>
  <si>
    <t>Residence Affairs</t>
  </si>
  <si>
    <t>Total General Expense</t>
  </si>
  <si>
    <t>Off Campus</t>
  </si>
  <si>
    <t>Off Campus Operations</t>
  </si>
  <si>
    <t>Off Campus Leaders</t>
  </si>
  <si>
    <t>Off Campus Expense</t>
  </si>
  <si>
    <t>External Affairs</t>
  </si>
  <si>
    <t>SNS</t>
  </si>
  <si>
    <t>Membership</t>
  </si>
  <si>
    <t>Conference Expense</t>
  </si>
  <si>
    <t>Total SNS Expense</t>
  </si>
  <si>
    <t>CASA</t>
  </si>
  <si>
    <t>Total CASA Expense</t>
  </si>
  <si>
    <t>Total External Expense</t>
  </si>
  <si>
    <t>Office Supplies</t>
  </si>
  <si>
    <t>Software License</t>
  </si>
  <si>
    <t>Commissions</t>
  </si>
  <si>
    <t>Late Night Study Space</t>
  </si>
  <si>
    <t>Total Expense</t>
  </si>
  <si>
    <t>Donations</t>
  </si>
  <si>
    <t>Operations</t>
  </si>
  <si>
    <t>Net Expenses</t>
  </si>
  <si>
    <t>DriveU</t>
  </si>
  <si>
    <t>Total Revenue</t>
  </si>
  <si>
    <t>Gas</t>
  </si>
  <si>
    <t>Uniforms</t>
  </si>
  <si>
    <t>Registration</t>
  </si>
  <si>
    <t>The Golden X Inn</t>
  </si>
  <si>
    <t>Door Cover</t>
  </si>
  <si>
    <t>Beer Bottle Exchange</t>
  </si>
  <si>
    <t>Food Sales</t>
  </si>
  <si>
    <t>Pool Table</t>
  </si>
  <si>
    <t>Promo/Sponsorship</t>
  </si>
  <si>
    <t>Bartenders</t>
  </si>
  <si>
    <t>Cleaning Services</t>
  </si>
  <si>
    <t>Employee Deductions</t>
  </si>
  <si>
    <t>Payroll Services Fees</t>
  </si>
  <si>
    <t>Socan Taxes</t>
  </si>
  <si>
    <t xml:space="preserve">Freight </t>
  </si>
  <si>
    <t>Juice and Pop</t>
  </si>
  <si>
    <t>Manager (2)</t>
  </si>
  <si>
    <t>Liquor Purchases</t>
  </si>
  <si>
    <t>Clothing - Uniforms</t>
  </si>
  <si>
    <t>Depreciation</t>
  </si>
  <si>
    <t>Buspersons</t>
  </si>
  <si>
    <t>Staff Appreciation</t>
  </si>
  <si>
    <t>SUB Advertising &amp; Sponsorship</t>
  </si>
  <si>
    <t>Fax &amp; Printing</t>
  </si>
  <si>
    <t>Payroll Service Fees</t>
  </si>
  <si>
    <t>Information Desk Clerks</t>
  </si>
  <si>
    <t>Information Desk Clothing / Training</t>
  </si>
  <si>
    <t>Fax Expenses</t>
  </si>
  <si>
    <t>Info Desk Staff Appreciation</t>
  </si>
  <si>
    <t>Purchase - Supplies</t>
  </si>
  <si>
    <t>Advertising</t>
  </si>
  <si>
    <t>Depreciation/Equipment</t>
  </si>
  <si>
    <t>License Fees</t>
  </si>
  <si>
    <t>The Xaverian Weekly</t>
  </si>
  <si>
    <t>Local Advertising</t>
  </si>
  <si>
    <t>Online Advertising</t>
  </si>
  <si>
    <t>Honorarium Breakdown</t>
  </si>
  <si>
    <t>Student Representative Board</t>
  </si>
  <si>
    <t xml:space="preserve"> - Chair of Council</t>
  </si>
  <si>
    <t xml:space="preserve"> - Deputy Chair of Council</t>
  </si>
  <si>
    <t xml:space="preserve"> - Chief Returning Officer</t>
  </si>
  <si>
    <t xml:space="preserve"> - Returning Officers (2)</t>
  </si>
  <si>
    <t>Total Student Representative Honorariums</t>
  </si>
  <si>
    <t>President</t>
  </si>
  <si>
    <t>VP Academic</t>
  </si>
  <si>
    <t>VP Finance</t>
  </si>
  <si>
    <t>VP Activities</t>
  </si>
  <si>
    <t>Total Exec Honorariums</t>
  </si>
  <si>
    <t>BY DEPARTMENT</t>
  </si>
  <si>
    <t>Activities and Events Office</t>
  </si>
  <si>
    <t xml:space="preserve"> - O-Crew Chairs (2)</t>
  </si>
  <si>
    <t xml:space="preserve"> - Society Coordinator</t>
  </si>
  <si>
    <t>Total A&amp;E  Sub-Exec Honorariums</t>
  </si>
  <si>
    <t>Communications Office</t>
  </si>
  <si>
    <t xml:space="preserve"> - Marketing Managers</t>
  </si>
  <si>
    <t xml:space="preserve"> - Marketing Team</t>
  </si>
  <si>
    <t xml:space="preserve"> - Summer Marketing Intern</t>
  </si>
  <si>
    <t xml:space="preserve"> - Research Officers (2)</t>
  </si>
  <si>
    <t>Total Comms Sub-Exec Honorariums</t>
  </si>
  <si>
    <t>Residance Affairs Office</t>
  </si>
  <si>
    <t>- Senior OCL</t>
  </si>
  <si>
    <t>- OCL</t>
  </si>
  <si>
    <t>Total Residance Affairs Sub-Exec Honorariums</t>
  </si>
  <si>
    <t>External Affairs Office</t>
  </si>
  <si>
    <t xml:space="preserve"> - Research and Policy Associate</t>
  </si>
  <si>
    <t>Total External Affairs Sub-Exec Honorarium</t>
  </si>
  <si>
    <t>Finance Office</t>
  </si>
  <si>
    <t xml:space="preserve"> - House Accounts Coordinator</t>
  </si>
  <si>
    <t xml:space="preserve"> - Sponsorship Coordinator</t>
  </si>
  <si>
    <t xml:space="preserve"> - Student Food Centre Coordinator</t>
  </si>
  <si>
    <t>Total Finance Office Sub-Exec Honorariums</t>
  </si>
  <si>
    <t xml:space="preserve"> - CFXU Station Manager</t>
  </si>
  <si>
    <t xml:space="preserve"> - CFXU External Manager</t>
  </si>
  <si>
    <t xml:space="preserve"> - CFXU Summer Staff</t>
  </si>
  <si>
    <t xml:space="preserve"> - CFXU Staff </t>
  </si>
  <si>
    <t>Total CFXU Staff Honorarium</t>
  </si>
  <si>
    <t xml:space="preserve"> - Xaverian Weekly Editor</t>
  </si>
  <si>
    <t xml:space="preserve"> - Xaverian Weekly Staff</t>
  </si>
  <si>
    <t>Total Xaverian Weekly Staff Honorarium</t>
  </si>
  <si>
    <t>Total Honorariums</t>
  </si>
  <si>
    <t>Student Fee Breakdown</t>
  </si>
  <si>
    <t>Finance and Operations</t>
  </si>
  <si>
    <t xml:space="preserve">Net Income </t>
  </si>
  <si>
    <t>Net Income</t>
  </si>
  <si>
    <t>2017-2018</t>
  </si>
  <si>
    <t>Donations - General/Loan</t>
  </si>
  <si>
    <t xml:space="preserve">Council Initatives </t>
  </si>
  <si>
    <t xml:space="preserve"> Budget </t>
  </si>
  <si>
    <t xml:space="preserve"> 2017-2018 </t>
  </si>
  <si>
    <t xml:space="preserve">Net Income from Frosh week </t>
  </si>
  <si>
    <t>Net Income from General</t>
  </si>
  <si>
    <t xml:space="preserve">Net Income from X-Ring </t>
  </si>
  <si>
    <t xml:space="preserve">Sponsorship </t>
  </si>
  <si>
    <t>StFX Students' Union Budget 2017-2018</t>
  </si>
  <si>
    <t xml:space="preserve"> Expenses </t>
  </si>
  <si>
    <t xml:space="preserve">Capital Campaign Fee (Remove) </t>
  </si>
  <si>
    <t xml:space="preserve">Bar Supplies &amp; Garnish  </t>
  </si>
  <si>
    <t>WaitStaff</t>
  </si>
  <si>
    <t>Glassware</t>
  </si>
  <si>
    <t xml:space="preserve">Training/Professional Development </t>
  </si>
  <si>
    <t xml:space="preserve">Increase </t>
  </si>
  <si>
    <t>Number of Students Projected (Full &amp; Part Time)</t>
  </si>
  <si>
    <t xml:space="preserve">Net Income  </t>
  </si>
  <si>
    <t>Number of Students Projected (Full Time Formula)</t>
  </si>
  <si>
    <t xml:space="preserve"> - Councillors (11)</t>
  </si>
  <si>
    <t xml:space="preserve">  - Equity Councillor</t>
  </si>
  <si>
    <t>3 Hrs/Week = $257.5</t>
  </si>
  <si>
    <t>6Hrs/Week = $515</t>
  </si>
  <si>
    <t>9hrs/Week = $772.5</t>
  </si>
  <si>
    <t>12Hrs/Week = $1030</t>
  </si>
  <si>
    <t>Full term Pay</t>
  </si>
  <si>
    <t xml:space="preserve"> - House Presidents (13)</t>
  </si>
  <si>
    <t>HP = $715</t>
  </si>
  <si>
    <t>VP = $415</t>
  </si>
  <si>
    <t xml:space="preserve"> -House Council Coordinator (1)</t>
  </si>
  <si>
    <t xml:space="preserve"> - House Vice Presidents (16)</t>
  </si>
  <si>
    <t>- International Health &amp; Dental Plan Advisor</t>
  </si>
  <si>
    <t xml:space="preserve"> - Advocate (4)</t>
  </si>
  <si>
    <t>Student Assistance Program</t>
  </si>
  <si>
    <t>VP Residence Affairs</t>
  </si>
  <si>
    <t>VP External Affairs</t>
  </si>
  <si>
    <t>Election Expense</t>
  </si>
  <si>
    <t>PR</t>
  </si>
  <si>
    <t>Inn</t>
  </si>
  <si>
    <t xml:space="preserve">Video </t>
  </si>
  <si>
    <t xml:space="preserve">Graphic </t>
  </si>
  <si>
    <t xml:space="preserve">Social Media </t>
  </si>
  <si>
    <t>Photo Staff</t>
  </si>
  <si>
    <t>Total</t>
  </si>
  <si>
    <t>Marketing Managers</t>
  </si>
  <si>
    <t xml:space="preserve">Summer Intern </t>
  </si>
  <si>
    <t>Annual Givings</t>
  </si>
  <si>
    <t>Calendar</t>
  </si>
  <si>
    <t>Vehicle Depreciation</t>
  </si>
  <si>
    <t xml:space="preserve">National Advertising </t>
  </si>
  <si>
    <t>Print Advertising</t>
  </si>
  <si>
    <t xml:space="preserve">Honorarium </t>
  </si>
  <si>
    <t>Website</t>
  </si>
  <si>
    <t xml:space="preserve">Mobile Platform </t>
  </si>
  <si>
    <t>Net Income from Societies</t>
  </si>
  <si>
    <t>Student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</si>
</sst>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(&quot;$&quot;* #,##0_);_(&quot;$&quot;* \(#,##0\);_(&quot;$&quot;* &quot;-&quot;??_);_(@_)"/>
  </numFmts>
  <fonts count="4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Arial"/>
    </font>
    <font>
      <b/>
      <sz val="10"/>
      <name val="Arial"/>
    </font>
    <font>
      <sz val="8"/>
      <name val="Calibri"/>
      <family val="2"/>
      <scheme val="minor"/>
    </font>
    <font>
      <sz val="12"/>
      <color theme="0"/>
      <name val="Abadi MT Condensed Extra Bold"/>
    </font>
    <font>
      <sz val="20"/>
      <color theme="0"/>
      <name val="Abadi MT Condensed Extra Bold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Abadi MT Condensed Extra Bold"/>
    </font>
    <font>
      <b/>
      <sz val="11"/>
      <name val="Abadi MT Condensed Light"/>
    </font>
    <font>
      <sz val="11"/>
      <name val="Abadi MT Condensed Light"/>
    </font>
    <font>
      <sz val="11"/>
      <color theme="1"/>
      <name val="Abadi MT Condensed Light"/>
    </font>
    <font>
      <b/>
      <sz val="11"/>
      <color theme="1"/>
      <name val="Abadi MT Condensed Light"/>
    </font>
    <font>
      <sz val="12"/>
      <color theme="1"/>
      <name val="Abadi MT Condensed Light"/>
    </font>
    <font>
      <b/>
      <sz val="12"/>
      <color theme="1"/>
      <name val="Abadi MT Condensed Light"/>
    </font>
    <font>
      <b/>
      <sz val="11"/>
      <color theme="0"/>
      <name val="Abadi MT Condensed Light"/>
    </font>
    <font>
      <b/>
      <sz val="11"/>
      <color theme="1"/>
      <name val="Abadi MT Condensed Extra Bold"/>
    </font>
    <font>
      <b/>
      <sz val="11"/>
      <color theme="0"/>
      <name val="Abadi MT Condensed Extra Bold"/>
    </font>
    <font>
      <sz val="11"/>
      <color theme="1"/>
      <name val="Abadi MT Condensed Extra Bold"/>
    </font>
    <font>
      <sz val="11"/>
      <color theme="0"/>
      <name val="Abadi MT Condensed Light"/>
    </font>
    <font>
      <sz val="11"/>
      <color theme="0"/>
      <name val="Abadi MT Condensed Extra Bold"/>
    </font>
    <font>
      <b/>
      <sz val="12"/>
      <color theme="0"/>
      <name val="Abadi MT Condensed Light"/>
    </font>
    <font>
      <sz val="12"/>
      <name val="Abadi MT Condensed Light"/>
    </font>
    <font>
      <sz val="10"/>
      <name val="Abadi MT Condensed Light"/>
    </font>
    <font>
      <b/>
      <sz val="12"/>
      <name val="Abadi MT Condensed Light"/>
    </font>
    <font>
      <b/>
      <sz val="10"/>
      <name val="Abadi MT Condensed Light"/>
    </font>
    <font>
      <b/>
      <sz val="11"/>
      <name val="Abadi MT Condensed Extra Bold"/>
    </font>
    <font>
      <sz val="11"/>
      <name val="Abadi MT Condensed Extra Bold"/>
    </font>
    <font>
      <b/>
      <sz val="14"/>
      <color theme="0"/>
      <name val="Abadi MT Condensed Extra Bold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1"/>
      <color rgb="FFFFFFFF"/>
      <name val="Abadi MT Condensed Light"/>
    </font>
    <font>
      <b/>
      <sz val="11"/>
      <color rgb="FFFFFFFF"/>
      <name val="Abadi MT Condensed Extra Bold"/>
    </font>
    <font>
      <sz val="12"/>
      <color theme="1"/>
      <name val="Abadi MT Condensed Extra Bold"/>
    </font>
    <font>
      <sz val="11"/>
      <color rgb="FF000000"/>
      <name val="Abadi MT Condensed Light"/>
    </font>
    <font>
      <b/>
      <sz val="11"/>
      <color rgb="FFFFFFFF"/>
      <name val="Calibri"/>
      <family val="2"/>
      <scheme val="minor"/>
    </font>
    <font>
      <b/>
      <sz val="11"/>
      <color rgb="FF000000"/>
      <name val="Abadi MT Condensed Light"/>
    </font>
    <font>
      <b/>
      <sz val="11"/>
      <color rgb="FF000000"/>
      <name val="Calibri"/>
      <scheme val="minor"/>
    </font>
    <font>
      <sz val="20"/>
      <name val="Abadi MT Condensed Extra Bold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rgb="FF2E74B5"/>
        <bgColor indexed="64"/>
      </patternFill>
    </fill>
    <fill>
      <patternFill patternType="solid">
        <fgColor rgb="FF0070C0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94">
    <xf numFmtId="0" fontId="0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 applyFill="1"/>
    <xf numFmtId="0" fontId="14" fillId="0" borderId="0" xfId="0" applyFont="1" applyFill="1" applyAlignment="1">
      <alignment horizontal="center"/>
    </xf>
    <xf numFmtId="44" fontId="20" fillId="0" borderId="0" xfId="5" applyNumberFormat="1" applyFont="1"/>
    <xf numFmtId="0" fontId="15" fillId="0" borderId="0" xfId="0" applyFont="1" applyFill="1" applyAlignment="1">
      <alignment vertical="center"/>
    </xf>
    <xf numFmtId="44" fontId="18" fillId="0" borderId="0" xfId="0" applyNumberFormat="1" applyFont="1"/>
    <xf numFmtId="44" fontId="21" fillId="0" borderId="0" xfId="0" applyNumberFormat="1" applyFont="1"/>
    <xf numFmtId="44" fontId="0" fillId="0" borderId="0" xfId="0" applyNumberFormat="1" applyFont="1"/>
    <xf numFmtId="44" fontId="5" fillId="0" borderId="0" xfId="5" applyNumberFormat="1" applyFont="1"/>
    <xf numFmtId="44" fontId="5" fillId="0" borderId="0" xfId="6" applyNumberFormat="1" applyFont="1"/>
    <xf numFmtId="44" fontId="6" fillId="0" borderId="0" xfId="0" applyNumberFormat="1" applyFont="1"/>
    <xf numFmtId="44" fontId="19" fillId="0" borderId="0" xfId="5" applyNumberFormat="1" applyFont="1"/>
    <xf numFmtId="44" fontId="20" fillId="0" borderId="0" xfId="6" applyNumberFormat="1" applyFont="1" applyAlignment="1"/>
    <xf numFmtId="44" fontId="20" fillId="0" borderId="0" xfId="5" applyNumberFormat="1" applyFont="1" applyAlignment="1">
      <alignment horizontal="left"/>
    </xf>
    <xf numFmtId="44" fontId="20" fillId="0" borderId="1" xfId="6" applyNumberFormat="1" applyFont="1" applyBorder="1" applyAlignment="1"/>
    <xf numFmtId="44" fontId="20" fillId="0" borderId="0" xfId="6" applyNumberFormat="1" applyFont="1" applyBorder="1" applyAlignment="1"/>
    <xf numFmtId="44" fontId="22" fillId="0" borderId="0" xfId="0" applyNumberFormat="1" applyFont="1" applyBorder="1"/>
    <xf numFmtId="44" fontId="21" fillId="2" borderId="2" xfId="0" applyNumberFormat="1" applyFont="1" applyFill="1" applyBorder="1"/>
    <xf numFmtId="44" fontId="20" fillId="0" borderId="0" xfId="3" applyNumberFormat="1" applyFont="1"/>
    <xf numFmtId="44" fontId="5" fillId="0" borderId="0" xfId="5" applyNumberFormat="1" applyFont="1" applyAlignment="1">
      <alignment horizontal="right"/>
    </xf>
    <xf numFmtId="44" fontId="19" fillId="0" borderId="0" xfId="5" applyNumberFormat="1" applyFont="1" applyFill="1"/>
    <xf numFmtId="44" fontId="5" fillId="0" borderId="0" xfId="7" applyNumberFormat="1" applyFont="1" applyFill="1"/>
    <xf numFmtId="44" fontId="20" fillId="2" borderId="0" xfId="5" applyNumberFormat="1" applyFont="1" applyFill="1"/>
    <xf numFmtId="44" fontId="20" fillId="2" borderId="0" xfId="6" applyNumberFormat="1" applyFont="1" applyFill="1" applyAlignment="1"/>
    <xf numFmtId="167" fontId="18" fillId="0" borderId="0" xfId="1" applyNumberFormat="1" applyFont="1"/>
    <xf numFmtId="167" fontId="21" fillId="0" borderId="0" xfId="1" applyNumberFormat="1" applyFont="1"/>
    <xf numFmtId="167" fontId="18" fillId="0" borderId="0" xfId="1" applyNumberFormat="1" applyFont="1" applyAlignment="1"/>
    <xf numFmtId="167" fontId="21" fillId="0" borderId="0" xfId="1" applyNumberFormat="1" applyFont="1" applyFill="1" applyBorder="1"/>
    <xf numFmtId="167" fontId="28" fillId="0" borderId="0" xfId="1" applyNumberFormat="1" applyFont="1" applyBorder="1"/>
    <xf numFmtId="167" fontId="27" fillId="4" borderId="11" xfId="1" applyNumberFormat="1" applyFont="1" applyFill="1" applyBorder="1" applyAlignment="1">
      <alignment horizontal="center"/>
    </xf>
    <xf numFmtId="167" fontId="25" fillId="0" borderId="0" xfId="1" applyNumberFormat="1" applyFont="1" applyFill="1" applyBorder="1" applyAlignment="1">
      <alignment vertical="center"/>
    </xf>
    <xf numFmtId="167" fontId="25" fillId="0" borderId="0" xfId="1" applyNumberFormat="1" applyFont="1" applyFill="1" applyBorder="1" applyAlignment="1">
      <alignment horizontal="center"/>
    </xf>
    <xf numFmtId="167" fontId="27" fillId="4" borderId="1" xfId="1" applyNumberFormat="1" applyFont="1" applyFill="1" applyBorder="1"/>
    <xf numFmtId="167" fontId="27" fillId="4" borderId="13" xfId="1" applyNumberFormat="1" applyFont="1" applyFill="1" applyBorder="1" applyAlignment="1">
      <alignment horizontal="center"/>
    </xf>
    <xf numFmtId="167" fontId="20" fillId="0" borderId="0" xfId="1" applyNumberFormat="1" applyFont="1"/>
    <xf numFmtId="167" fontId="21" fillId="0" borderId="0" xfId="1" applyNumberFormat="1" applyFont="1" applyBorder="1"/>
    <xf numFmtId="167" fontId="20" fillId="0" borderId="0" xfId="1" applyNumberFormat="1" applyFont="1" applyFill="1"/>
    <xf numFmtId="167" fontId="21" fillId="0" borderId="0" xfId="1" applyNumberFormat="1" applyFont="1" applyBorder="1" applyAlignment="1">
      <alignment horizontal="right"/>
    </xf>
    <xf numFmtId="167" fontId="21" fillId="0" borderId="0" xfId="1" applyNumberFormat="1" applyFont="1" applyFill="1" applyBorder="1" applyAlignment="1">
      <alignment horizontal="right"/>
    </xf>
    <xf numFmtId="167" fontId="21" fillId="0" borderId="1" xfId="1" applyNumberFormat="1" applyFont="1" applyBorder="1"/>
    <xf numFmtId="167" fontId="36" fillId="0" borderId="0" xfId="1" applyNumberFormat="1" applyFont="1" applyFill="1" applyAlignment="1">
      <alignment horizontal="right"/>
    </xf>
    <xf numFmtId="167" fontId="26" fillId="0" borderId="0" xfId="1" applyNumberFormat="1" applyFont="1" applyBorder="1"/>
    <xf numFmtId="167" fontId="25" fillId="0" borderId="0" xfId="1" applyNumberFormat="1" applyFont="1" applyFill="1" applyBorder="1" applyAlignment="1">
      <alignment horizontal="center" vertical="center"/>
    </xf>
    <xf numFmtId="167" fontId="27" fillId="4" borderId="7" xfId="1" applyNumberFormat="1" applyFont="1" applyFill="1" applyBorder="1"/>
    <xf numFmtId="167" fontId="25" fillId="4" borderId="8" xfId="1" applyNumberFormat="1" applyFont="1" applyFill="1" applyBorder="1" applyAlignment="1">
      <alignment horizontal="center"/>
    </xf>
    <xf numFmtId="167" fontId="21" fillId="0" borderId="0" xfId="1" applyNumberFormat="1" applyFont="1" applyFill="1"/>
    <xf numFmtId="167" fontId="20" fillId="0" borderId="0" xfId="1" applyNumberFormat="1" applyFont="1" applyFill="1" applyAlignment="1">
      <alignment horizontal="left"/>
    </xf>
    <xf numFmtId="167" fontId="20" fillId="0" borderId="1" xfId="1" applyNumberFormat="1" applyFont="1" applyFill="1" applyBorder="1"/>
    <xf numFmtId="167" fontId="36" fillId="0" borderId="0" xfId="1" applyNumberFormat="1" applyFont="1" applyFill="1"/>
    <xf numFmtId="167" fontId="26" fillId="0" borderId="0" xfId="1" applyNumberFormat="1" applyFont="1"/>
    <xf numFmtId="167" fontId="22" fillId="0" borderId="0" xfId="1" applyNumberFormat="1" applyFont="1"/>
    <xf numFmtId="167" fontId="18" fillId="0" borderId="0" xfId="0" applyNumberFormat="1" applyFont="1"/>
    <xf numFmtId="167" fontId="21" fillId="0" borderId="0" xfId="0" applyNumberFormat="1" applyFont="1"/>
    <xf numFmtId="167" fontId="20" fillId="0" borderId="0" xfId="5" applyNumberFormat="1" applyFont="1"/>
    <xf numFmtId="167" fontId="27" fillId="3" borderId="11" xfId="1" applyNumberFormat="1" applyFont="1" applyFill="1" applyBorder="1" applyAlignment="1">
      <alignment horizontal="center"/>
    </xf>
    <xf numFmtId="167" fontId="27" fillId="6" borderId="1" xfId="1" applyNumberFormat="1" applyFont="1" applyFill="1" applyBorder="1"/>
    <xf numFmtId="167" fontId="27" fillId="3" borderId="13" xfId="1" applyNumberFormat="1" applyFont="1" applyFill="1" applyBorder="1" applyAlignment="1">
      <alignment horizontal="center"/>
    </xf>
    <xf numFmtId="167" fontId="20" fillId="0" borderId="0" xfId="1" applyNumberFormat="1" applyFont="1" applyFill="1" applyBorder="1"/>
    <xf numFmtId="167" fontId="26" fillId="0" borderId="0" xfId="1" applyNumberFormat="1" applyFont="1" applyBorder="1" applyAlignment="1">
      <alignment horizontal="right"/>
    </xf>
    <xf numFmtId="167" fontId="27" fillId="3" borderId="1" xfId="1" applyNumberFormat="1" applyFont="1" applyFill="1" applyBorder="1"/>
    <xf numFmtId="167" fontId="22" fillId="3" borderId="0" xfId="1" applyNumberFormat="1" applyFont="1" applyFill="1" applyBorder="1" applyAlignment="1">
      <alignment horizontal="center"/>
    </xf>
    <xf numFmtId="167" fontId="22" fillId="0" borderId="0" xfId="1" applyNumberFormat="1" applyFont="1" applyFill="1" applyBorder="1" applyAlignment="1">
      <alignment horizontal="center"/>
    </xf>
    <xf numFmtId="167" fontId="26" fillId="0" borderId="0" xfId="1" applyNumberFormat="1" applyFont="1" applyAlignment="1">
      <alignment horizontal="right"/>
    </xf>
    <xf numFmtId="167" fontId="26" fillId="0" borderId="6" xfId="1" applyNumberFormat="1" applyFont="1" applyBorder="1"/>
    <xf numFmtId="167" fontId="1" fillId="0" borderId="0" xfId="1" applyNumberFormat="1" applyFont="1"/>
    <xf numFmtId="167" fontId="6" fillId="0" borderId="0" xfId="1" applyNumberFormat="1" applyFont="1"/>
    <xf numFmtId="167" fontId="6" fillId="0" borderId="0" xfId="1" applyNumberFormat="1" applyFont="1" applyFill="1" applyBorder="1"/>
    <xf numFmtId="167" fontId="30" fillId="0" borderId="0" xfId="1" applyNumberFormat="1" applyFont="1" applyFill="1" applyBorder="1"/>
    <xf numFmtId="167" fontId="27" fillId="4" borderId="12" xfId="1" applyNumberFormat="1" applyFont="1" applyFill="1" applyBorder="1" applyAlignment="1">
      <alignment horizontal="center"/>
    </xf>
    <xf numFmtId="167" fontId="8" fillId="0" borderId="0" xfId="1" applyNumberFormat="1" applyFont="1" applyFill="1" applyBorder="1" applyAlignment="1">
      <alignment horizontal="center" vertical="center"/>
    </xf>
    <xf numFmtId="167" fontId="8" fillId="0" borderId="0" xfId="1" applyNumberFormat="1" applyFont="1" applyFill="1" applyBorder="1" applyAlignment="1">
      <alignment horizontal="center"/>
    </xf>
    <xf numFmtId="167" fontId="27" fillId="4" borderId="14" xfId="1" applyNumberFormat="1" applyFont="1" applyFill="1" applyBorder="1" applyAlignment="1">
      <alignment horizontal="center"/>
    </xf>
    <xf numFmtId="167" fontId="21" fillId="0" borderId="8" xfId="1" applyNumberFormat="1" applyFont="1" applyBorder="1"/>
    <xf numFmtId="167" fontId="36" fillId="0" borderId="0" xfId="1" applyNumberFormat="1" applyFont="1" applyAlignment="1">
      <alignment horizontal="right"/>
    </xf>
    <xf numFmtId="167" fontId="29" fillId="0" borderId="0" xfId="1" applyNumberFormat="1" applyFont="1" applyFill="1" applyBorder="1"/>
    <xf numFmtId="167" fontId="20" fillId="0" borderId="1" xfId="1" applyNumberFormat="1" applyFont="1" applyBorder="1"/>
    <xf numFmtId="167" fontId="21" fillId="0" borderId="1" xfId="1" applyNumberFormat="1" applyFont="1" applyFill="1" applyBorder="1"/>
    <xf numFmtId="167" fontId="1" fillId="0" borderId="0" xfId="1" applyNumberFormat="1" applyFont="1" applyFill="1" applyBorder="1"/>
    <xf numFmtId="167" fontId="1" fillId="0" borderId="0" xfId="1" applyNumberFormat="1" applyFont="1" applyBorder="1"/>
    <xf numFmtId="167" fontId="4" fillId="0" borderId="0" xfId="1" applyNumberFormat="1" applyFont="1" applyFill="1"/>
    <xf numFmtId="167" fontId="4" fillId="0" borderId="0" xfId="1" applyNumberFormat="1" applyFont="1" applyFill="1" applyBorder="1"/>
    <xf numFmtId="167" fontId="27" fillId="4" borderId="3" xfId="1" applyNumberFormat="1" applyFont="1" applyFill="1" applyBorder="1"/>
    <xf numFmtId="167" fontId="22" fillId="0" borderId="0" xfId="1" applyNumberFormat="1" applyFont="1" applyFill="1" applyBorder="1" applyAlignment="1">
      <alignment horizontal="center" vertical="center"/>
    </xf>
    <xf numFmtId="167" fontId="22" fillId="4" borderId="8" xfId="1" applyNumberFormat="1" applyFont="1" applyFill="1" applyBorder="1" applyAlignment="1">
      <alignment horizontal="center"/>
    </xf>
    <xf numFmtId="167" fontId="19" fillId="0" borderId="0" xfId="1" applyNumberFormat="1" applyFont="1"/>
    <xf numFmtId="167" fontId="19" fillId="0" borderId="0" xfId="1" applyNumberFormat="1" applyFont="1" applyBorder="1"/>
    <xf numFmtId="167" fontId="22" fillId="0" borderId="0" xfId="1" applyNumberFormat="1" applyFont="1" applyBorder="1"/>
    <xf numFmtId="167" fontId="36" fillId="0" borderId="0" xfId="1" applyNumberFormat="1" applyFont="1"/>
    <xf numFmtId="167" fontId="23" fillId="0" borderId="0" xfId="1" applyNumberFormat="1" applyFont="1"/>
    <xf numFmtId="167" fontId="26" fillId="0" borderId="0" xfId="1" applyNumberFormat="1" applyFont="1" applyFill="1" applyBorder="1"/>
    <xf numFmtId="167" fontId="23" fillId="0" borderId="0" xfId="1" applyNumberFormat="1" applyFont="1" applyFill="1" applyBorder="1"/>
    <xf numFmtId="167" fontId="31" fillId="0" borderId="0" xfId="1" applyNumberFormat="1" applyFont="1" applyFill="1" applyBorder="1" applyAlignment="1">
      <alignment horizontal="center" vertical="center"/>
    </xf>
    <xf numFmtId="167" fontId="31" fillId="0" borderId="0" xfId="1" applyNumberFormat="1" applyFont="1" applyFill="1" applyBorder="1" applyAlignment="1">
      <alignment horizontal="center"/>
    </xf>
    <xf numFmtId="167" fontId="31" fillId="0" borderId="0" xfId="1" applyNumberFormat="1" applyFont="1" applyFill="1" applyBorder="1"/>
    <xf numFmtId="167" fontId="32" fillId="0" borderId="0" xfId="1" applyNumberFormat="1" applyFont="1" applyFill="1" applyBorder="1"/>
    <xf numFmtId="167" fontId="33" fillId="0" borderId="0" xfId="1" applyNumberFormat="1" applyFont="1" applyFill="1" applyBorder="1"/>
    <xf numFmtId="167" fontId="19" fillId="0" borderId="0" xfId="1" applyNumberFormat="1" applyFont="1" applyFill="1" applyAlignment="1">
      <alignment horizontal="right"/>
    </xf>
    <xf numFmtId="167" fontId="34" fillId="0" borderId="0" xfId="1" applyNumberFormat="1" applyFont="1" applyFill="1" applyBorder="1" applyAlignment="1">
      <alignment horizontal="right"/>
    </xf>
    <xf numFmtId="167" fontId="35" fillId="0" borderId="0" xfId="1" applyNumberFormat="1" applyFont="1" applyFill="1" applyBorder="1"/>
    <xf numFmtId="167" fontId="24" fillId="0" borderId="0" xfId="1" applyNumberFormat="1" applyFont="1" applyFill="1" applyBorder="1" applyAlignment="1">
      <alignment horizontal="center" vertical="center"/>
    </xf>
    <xf numFmtId="167" fontId="24" fillId="0" borderId="0" xfId="1" applyNumberFormat="1" applyFont="1" applyFill="1" applyBorder="1" applyAlignment="1">
      <alignment horizontal="center"/>
    </xf>
    <xf numFmtId="167" fontId="20" fillId="0" borderId="0" xfId="1" applyNumberFormat="1" applyFont="1" applyAlignment="1">
      <alignment horizontal="right"/>
    </xf>
    <xf numFmtId="167" fontId="24" fillId="0" borderId="0" xfId="1" applyNumberFormat="1" applyFont="1" applyFill="1" applyBorder="1" applyAlignment="1">
      <alignment horizontal="right"/>
    </xf>
    <xf numFmtId="167" fontId="27" fillId="5" borderId="11" xfId="1" applyNumberFormat="1" applyFont="1" applyFill="1" applyBorder="1" applyAlignment="1">
      <alignment horizontal="center"/>
    </xf>
    <xf numFmtId="167" fontId="27" fillId="5" borderId="1" xfId="1" applyNumberFormat="1" applyFont="1" applyFill="1" applyBorder="1"/>
    <xf numFmtId="167" fontId="27" fillId="5" borderId="13" xfId="1" applyNumberFormat="1" applyFont="1" applyFill="1" applyBorder="1" applyAlignment="1">
      <alignment horizontal="center"/>
    </xf>
    <xf numFmtId="167" fontId="22" fillId="0" borderId="8" xfId="1" applyNumberFormat="1" applyFont="1" applyBorder="1"/>
    <xf numFmtId="167" fontId="27" fillId="5" borderId="7" xfId="1" applyNumberFormat="1" applyFont="1" applyFill="1" applyBorder="1"/>
    <xf numFmtId="167" fontId="22" fillId="5" borderId="8" xfId="1" applyNumberFormat="1" applyFont="1" applyFill="1" applyBorder="1" applyAlignment="1">
      <alignment horizontal="center"/>
    </xf>
    <xf numFmtId="167" fontId="20" fillId="0" borderId="0" xfId="1" applyNumberFormat="1" applyFont="1" applyBorder="1"/>
    <xf numFmtId="167" fontId="26" fillId="0" borderId="8" xfId="1" applyNumberFormat="1" applyFont="1" applyBorder="1"/>
    <xf numFmtId="167" fontId="26" fillId="4" borderId="8" xfId="1" applyNumberFormat="1" applyFont="1" applyFill="1" applyBorder="1" applyAlignment="1">
      <alignment horizontal="center"/>
    </xf>
    <xf numFmtId="167" fontId="33" fillId="0" borderId="0" xfId="1" applyNumberFormat="1" applyFont="1" applyFill="1"/>
    <xf numFmtId="167" fontId="23" fillId="0" borderId="0" xfId="1" applyNumberFormat="1" applyFont="1" applyBorder="1"/>
    <xf numFmtId="167" fontId="3" fillId="0" borderId="0" xfId="1" applyNumberFormat="1" applyFont="1"/>
    <xf numFmtId="167" fontId="0" fillId="0" borderId="0" xfId="1" applyNumberFormat="1" applyFont="1"/>
    <xf numFmtId="167" fontId="3" fillId="0" borderId="0" xfId="1" applyNumberFormat="1" applyFont="1" applyAlignment="1"/>
    <xf numFmtId="167" fontId="0" fillId="0" borderId="0" xfId="1" applyNumberFormat="1" applyFont="1" applyFill="1" applyBorder="1"/>
    <xf numFmtId="167" fontId="9" fillId="0" borderId="0" xfId="1" applyNumberFormat="1" applyFont="1" applyFill="1" applyBorder="1"/>
    <xf numFmtId="167" fontId="8" fillId="4" borderId="11" xfId="1" applyNumberFormat="1" applyFont="1" applyFill="1" applyBorder="1" applyAlignment="1">
      <alignment horizontal="center"/>
    </xf>
    <xf numFmtId="167" fontId="8" fillId="4" borderId="1" xfId="1" applyNumberFormat="1" applyFont="1" applyFill="1" applyBorder="1"/>
    <xf numFmtId="167" fontId="8" fillId="4" borderId="13" xfId="1" applyNumberFormat="1" applyFont="1" applyFill="1" applyBorder="1" applyAlignment="1">
      <alignment horizontal="center"/>
    </xf>
    <xf numFmtId="167" fontId="10" fillId="0" borderId="0" xfId="1" applyNumberFormat="1" applyFont="1"/>
    <xf numFmtId="167" fontId="11" fillId="0" borderId="0" xfId="1" applyNumberFormat="1" applyFont="1" applyAlignment="1">
      <alignment horizontal="right"/>
    </xf>
    <xf numFmtId="167" fontId="6" fillId="0" borderId="0" xfId="1" applyNumberFormat="1" applyFont="1" applyBorder="1"/>
    <xf numFmtId="167" fontId="7" fillId="0" borderId="0" xfId="1" applyNumberFormat="1" applyFont="1" applyFill="1" applyBorder="1" applyAlignment="1">
      <alignment horizontal="center"/>
    </xf>
    <xf numFmtId="167" fontId="7" fillId="4" borderId="13" xfId="1" applyNumberFormat="1" applyFont="1" applyFill="1" applyBorder="1" applyAlignment="1">
      <alignment horizontal="center"/>
    </xf>
    <xf numFmtId="167" fontId="10" fillId="0" borderId="0" xfId="1" applyNumberFormat="1" applyFont="1" applyFill="1"/>
    <xf numFmtId="167" fontId="0" fillId="0" borderId="0" xfId="1" applyNumberFormat="1" applyFont="1" applyBorder="1"/>
    <xf numFmtId="167" fontId="12" fillId="0" borderId="0" xfId="1" applyNumberFormat="1" applyFont="1" applyFill="1" applyAlignment="1">
      <alignment horizontal="right"/>
    </xf>
    <xf numFmtId="167" fontId="28" fillId="0" borderId="0" xfId="1" applyNumberFormat="1" applyFont="1" applyFill="1" applyBorder="1"/>
    <xf numFmtId="167" fontId="27" fillId="3" borderId="2" xfId="1" applyNumberFormat="1" applyFont="1" applyFill="1" applyBorder="1" applyAlignment="1">
      <alignment horizontal="center"/>
    </xf>
    <xf numFmtId="167" fontId="27" fillId="3" borderId="1" xfId="1" applyNumberFormat="1" applyFont="1" applyFill="1" applyBorder="1" applyAlignment="1">
      <alignment horizontal="center"/>
    </xf>
    <xf numFmtId="167" fontId="36" fillId="0" borderId="8" xfId="1" applyNumberFormat="1" applyFont="1" applyBorder="1"/>
    <xf numFmtId="167" fontId="26" fillId="0" borderId="1" xfId="1" applyNumberFormat="1" applyFont="1" applyBorder="1"/>
    <xf numFmtId="167" fontId="30" fillId="0" borderId="0" xfId="1" applyNumberFormat="1" applyFont="1" applyBorder="1"/>
    <xf numFmtId="167" fontId="20" fillId="0" borderId="8" xfId="1" applyNumberFormat="1" applyFont="1" applyBorder="1"/>
    <xf numFmtId="167" fontId="36" fillId="0" borderId="1" xfId="1" applyNumberFormat="1" applyFont="1" applyBorder="1"/>
    <xf numFmtId="167" fontId="19" fillId="0" borderId="0" xfId="1" applyNumberFormat="1" applyFont="1" applyAlignment="1">
      <alignment horizontal="right"/>
    </xf>
    <xf numFmtId="167" fontId="27" fillId="4" borderId="0" xfId="1" applyNumberFormat="1" applyFont="1" applyFill="1" applyBorder="1"/>
    <xf numFmtId="167" fontId="27" fillId="4" borderId="0" xfId="1" applyNumberFormat="1" applyFont="1" applyFill="1" applyBorder="1" applyAlignment="1">
      <alignment horizontal="center"/>
    </xf>
    <xf numFmtId="167" fontId="21" fillId="0" borderId="0" xfId="0" applyNumberFormat="1" applyFont="1" applyFill="1" applyBorder="1"/>
    <xf numFmtId="167" fontId="18" fillId="0" borderId="0" xfId="0" applyNumberFormat="1" applyFont="1" applyAlignment="1"/>
    <xf numFmtId="167" fontId="30" fillId="0" borderId="0" xfId="0" applyNumberFormat="1" applyFont="1" applyFill="1" applyBorder="1"/>
    <xf numFmtId="167" fontId="27" fillId="4" borderId="1" xfId="0" applyNumberFormat="1" applyFont="1" applyFill="1" applyBorder="1"/>
    <xf numFmtId="167" fontId="20" fillId="0" borderId="0" xfId="2" applyNumberFormat="1" applyFont="1"/>
    <xf numFmtId="167" fontId="21" fillId="0" borderId="0" xfId="0" applyNumberFormat="1" applyFont="1" applyBorder="1"/>
    <xf numFmtId="167" fontId="19" fillId="0" borderId="0" xfId="5" applyNumberFormat="1" applyFont="1" applyAlignment="1">
      <alignment horizontal="right"/>
    </xf>
    <xf numFmtId="167" fontId="22" fillId="0" borderId="0" xfId="0" applyNumberFormat="1" applyFont="1" applyFill="1" applyBorder="1" applyAlignment="1">
      <alignment horizontal="center"/>
    </xf>
    <xf numFmtId="167" fontId="20" fillId="0" borderId="0" xfId="5" applyNumberFormat="1" applyFont="1" applyFill="1"/>
    <xf numFmtId="167" fontId="22" fillId="4" borderId="13" xfId="1" applyNumberFormat="1" applyFont="1" applyFill="1" applyBorder="1" applyAlignment="1">
      <alignment horizontal="center"/>
    </xf>
    <xf numFmtId="167" fontId="26" fillId="0" borderId="0" xfId="0" applyNumberFormat="1" applyFont="1"/>
    <xf numFmtId="167" fontId="26" fillId="0" borderId="10" xfId="1" applyNumberFormat="1" applyFont="1" applyBorder="1"/>
    <xf numFmtId="167" fontId="19" fillId="0" borderId="0" xfId="5" applyNumberFormat="1" applyFont="1" applyFill="1" applyAlignment="1">
      <alignment horizontal="right"/>
    </xf>
    <xf numFmtId="167" fontId="30" fillId="0" borderId="0" xfId="0" applyNumberFormat="1" applyFont="1" applyBorder="1"/>
    <xf numFmtId="167" fontId="27" fillId="4" borderId="11" xfId="0" applyNumberFormat="1" applyFont="1" applyFill="1" applyBorder="1" applyAlignment="1">
      <alignment horizontal="center"/>
    </xf>
    <xf numFmtId="167" fontId="27" fillId="4" borderId="13" xfId="0" applyNumberFormat="1" applyFont="1" applyFill="1" applyBorder="1" applyAlignment="1">
      <alignment horizontal="center"/>
    </xf>
    <xf numFmtId="167" fontId="21" fillId="0" borderId="1" xfId="0" applyNumberFormat="1" applyFont="1" applyBorder="1"/>
    <xf numFmtId="167" fontId="26" fillId="0" borderId="1" xfId="0" applyNumberFormat="1" applyFont="1" applyBorder="1"/>
    <xf numFmtId="167" fontId="25" fillId="4" borderId="1" xfId="0" applyNumberFormat="1" applyFont="1" applyFill="1" applyBorder="1"/>
    <xf numFmtId="167" fontId="22" fillId="4" borderId="13" xfId="0" applyNumberFormat="1" applyFont="1" applyFill="1" applyBorder="1" applyAlignment="1">
      <alignment horizontal="center"/>
    </xf>
    <xf numFmtId="167" fontId="21" fillId="0" borderId="0" xfId="0" applyNumberFormat="1" applyFont="1" applyFill="1"/>
    <xf numFmtId="167" fontId="26" fillId="0" borderId="8" xfId="0" applyNumberFormat="1" applyFont="1" applyBorder="1"/>
    <xf numFmtId="167" fontId="37" fillId="0" borderId="0" xfId="1" applyNumberFormat="1" applyFont="1"/>
    <xf numFmtId="167" fontId="28" fillId="0" borderId="0" xfId="1" applyNumberFormat="1" applyFont="1"/>
    <xf numFmtId="167" fontId="21" fillId="4" borderId="9" xfId="1" applyNumberFormat="1" applyFont="1" applyFill="1" applyBorder="1"/>
    <xf numFmtId="167" fontId="19" fillId="0" borderId="0" xfId="1" applyNumberFormat="1" applyFont="1" applyFill="1" applyBorder="1"/>
    <xf numFmtId="167" fontId="38" fillId="4" borderId="3" xfId="1" applyNumberFormat="1" applyFont="1" applyFill="1" applyBorder="1"/>
    <xf numFmtId="167" fontId="29" fillId="4" borderId="9" xfId="1" applyNumberFormat="1" applyFont="1" applyFill="1" applyBorder="1"/>
    <xf numFmtId="167" fontId="25" fillId="4" borderId="9" xfId="1" applyNumberFormat="1" applyFont="1" applyFill="1" applyBorder="1"/>
    <xf numFmtId="167" fontId="36" fillId="0" borderId="0" xfId="1" applyNumberFormat="1" applyFont="1" applyFill="1" applyBorder="1"/>
    <xf numFmtId="167" fontId="36" fillId="0" borderId="6" xfId="1" applyNumberFormat="1" applyFont="1" applyFill="1" applyBorder="1"/>
    <xf numFmtId="167" fontId="21" fillId="0" borderId="0" xfId="1" applyNumberFormat="1" applyFont="1" applyAlignment="1">
      <alignment wrapText="1"/>
    </xf>
    <xf numFmtId="167" fontId="23" fillId="0" borderId="0" xfId="1" applyNumberFormat="1" applyFont="1" applyAlignment="1"/>
    <xf numFmtId="167" fontId="41" fillId="7" borderId="8" xfId="0" applyNumberFormat="1" applyFont="1" applyFill="1" applyBorder="1" applyAlignment="1">
      <alignment horizontal="center"/>
    </xf>
    <xf numFmtId="167" fontId="21" fillId="0" borderId="8" xfId="1" applyNumberFormat="1" applyFont="1" applyFill="1" applyBorder="1"/>
    <xf numFmtId="167" fontId="28" fillId="0" borderId="8" xfId="1" applyNumberFormat="1" applyFont="1" applyFill="1" applyBorder="1"/>
    <xf numFmtId="167" fontId="28" fillId="0" borderId="6" xfId="1" applyNumberFormat="1" applyFont="1" applyFill="1" applyBorder="1"/>
    <xf numFmtId="167" fontId="28" fillId="0" borderId="10" xfId="1" applyNumberFormat="1" applyFont="1" applyFill="1" applyBorder="1"/>
    <xf numFmtId="167" fontId="26" fillId="0" borderId="8" xfId="1" applyNumberFormat="1" applyFont="1" applyFill="1" applyBorder="1"/>
    <xf numFmtId="167" fontId="26" fillId="0" borderId="6" xfId="1" applyNumberFormat="1" applyFont="1" applyFill="1" applyBorder="1"/>
    <xf numFmtId="167" fontId="42" fillId="7" borderId="11" xfId="0" applyNumberFormat="1" applyFont="1" applyFill="1" applyBorder="1" applyAlignment="1">
      <alignment horizontal="center"/>
    </xf>
    <xf numFmtId="167" fontId="42" fillId="7" borderId="13" xfId="0" applyNumberFormat="1" applyFont="1" applyFill="1" applyBorder="1" applyAlignment="1">
      <alignment horizontal="center"/>
    </xf>
    <xf numFmtId="167" fontId="28" fillId="0" borderId="2" xfId="1" applyNumberFormat="1" applyFont="1" applyFill="1" applyBorder="1"/>
    <xf numFmtId="167" fontId="21" fillId="0" borderId="2" xfId="1" applyNumberFormat="1" applyFont="1" applyBorder="1"/>
    <xf numFmtId="167" fontId="36" fillId="0" borderId="8" xfId="1" applyNumberFormat="1" applyFont="1" applyFill="1" applyBorder="1" applyAlignment="1">
      <alignment horizontal="center" vertical="center"/>
    </xf>
    <xf numFmtId="167" fontId="43" fillId="0" borderId="0" xfId="1" applyNumberFormat="1" applyFont="1" applyFill="1" applyBorder="1"/>
    <xf numFmtId="167" fontId="43" fillId="0" borderId="8" xfId="1" applyNumberFormat="1" applyFont="1" applyFill="1" applyBorder="1"/>
    <xf numFmtId="167" fontId="37" fillId="0" borderId="0" xfId="1" applyNumberFormat="1" applyFont="1" applyFill="1" applyBorder="1"/>
    <xf numFmtId="167" fontId="37" fillId="0" borderId="8" xfId="1" applyNumberFormat="1" applyFont="1" applyFill="1" applyBorder="1"/>
    <xf numFmtId="167" fontId="26" fillId="0" borderId="8" xfId="1" applyNumberFormat="1" applyFont="1" applyBorder="1" applyAlignment="1">
      <alignment horizontal="right"/>
    </xf>
    <xf numFmtId="167" fontId="37" fillId="0" borderId="8" xfId="1" applyNumberFormat="1" applyFont="1" applyFill="1" applyBorder="1" applyAlignment="1">
      <alignment horizontal="right"/>
    </xf>
    <xf numFmtId="167" fontId="37" fillId="0" borderId="10" xfId="1" applyNumberFormat="1" applyFont="1" applyFill="1" applyBorder="1"/>
    <xf numFmtId="167" fontId="44" fillId="0" borderId="2" xfId="0" applyNumberFormat="1" applyFont="1" applyBorder="1"/>
    <xf numFmtId="167" fontId="28" fillId="0" borderId="8" xfId="1" applyNumberFormat="1" applyFont="1" applyBorder="1"/>
    <xf numFmtId="167" fontId="28" fillId="0" borderId="0" xfId="1" applyNumberFormat="1" applyFont="1" applyBorder="1" applyAlignment="1">
      <alignment horizontal="right"/>
    </xf>
    <xf numFmtId="167" fontId="28" fillId="0" borderId="10" xfId="1" applyNumberFormat="1" applyFont="1" applyBorder="1"/>
    <xf numFmtId="167" fontId="37" fillId="0" borderId="8" xfId="1" applyNumberFormat="1" applyFont="1" applyBorder="1"/>
    <xf numFmtId="167" fontId="36" fillId="0" borderId="0" xfId="1" applyNumberFormat="1" applyFont="1" applyAlignment="1">
      <alignment horizontal="left"/>
    </xf>
    <xf numFmtId="167" fontId="36" fillId="0" borderId="0" xfId="1" applyNumberFormat="1" applyFont="1" applyBorder="1" applyAlignment="1">
      <alignment horizontal="right"/>
    </xf>
    <xf numFmtId="167" fontId="6" fillId="0" borderId="10" xfId="1" applyNumberFormat="1" applyFont="1" applyBorder="1"/>
    <xf numFmtId="167" fontId="6" fillId="0" borderId="2" xfId="1" applyNumberFormat="1" applyFont="1" applyFill="1" applyBorder="1"/>
    <xf numFmtId="167" fontId="45" fillId="7" borderId="1" xfId="0" applyNumberFormat="1" applyFont="1" applyFill="1" applyBorder="1"/>
    <xf numFmtId="167" fontId="46" fillId="7" borderId="13" xfId="0" applyNumberFormat="1" applyFont="1" applyFill="1" applyBorder="1" applyAlignment="1">
      <alignment horizontal="center"/>
    </xf>
    <xf numFmtId="167" fontId="47" fillId="7" borderId="13" xfId="0" applyNumberFormat="1" applyFont="1" applyFill="1" applyBorder="1" applyAlignment="1">
      <alignment horizontal="center"/>
    </xf>
    <xf numFmtId="0" fontId="48" fillId="0" borderId="0" xfId="0" applyFont="1" applyFill="1" applyAlignment="1">
      <alignment vertical="center"/>
    </xf>
    <xf numFmtId="9" fontId="20" fillId="0" borderId="0" xfId="4" applyFont="1" applyAlignment="1"/>
    <xf numFmtId="167" fontId="37" fillId="0" borderId="0" xfId="1" applyNumberFormat="1" applyFont="1" applyAlignment="1">
      <alignment horizontal="right"/>
    </xf>
    <xf numFmtId="167" fontId="37" fillId="0" borderId="10" xfId="1" applyNumberFormat="1" applyFont="1" applyBorder="1"/>
    <xf numFmtId="167" fontId="26" fillId="0" borderId="2" xfId="1" applyNumberFormat="1" applyFont="1" applyBorder="1"/>
    <xf numFmtId="167" fontId="37" fillId="0" borderId="0" xfId="1" applyNumberFormat="1" applyFont="1" applyFill="1" applyAlignment="1">
      <alignment horizontal="right"/>
    </xf>
    <xf numFmtId="167" fontId="36" fillId="0" borderId="10" xfId="1" applyNumberFormat="1" applyFont="1" applyBorder="1"/>
    <xf numFmtId="167" fontId="27" fillId="4" borderId="1" xfId="1" applyNumberFormat="1" applyFont="1" applyFill="1" applyBorder="1" applyAlignment="1">
      <alignment horizontal="center"/>
    </xf>
    <xf numFmtId="167" fontId="27" fillId="4" borderId="4" xfId="1" applyNumberFormat="1" applyFont="1" applyFill="1" applyBorder="1" applyAlignment="1">
      <alignment horizontal="center"/>
    </xf>
    <xf numFmtId="167" fontId="27" fillId="4" borderId="5" xfId="1" applyNumberFormat="1" applyFont="1" applyFill="1" applyBorder="1" applyAlignment="1">
      <alignment horizontal="center"/>
    </xf>
    <xf numFmtId="167" fontId="25" fillId="4" borderId="9" xfId="1" applyNumberFormat="1" applyFont="1" applyFill="1" applyBorder="1" applyAlignment="1">
      <alignment horizontal="center"/>
    </xf>
    <xf numFmtId="167" fontId="26" fillId="0" borderId="0" xfId="0" applyNumberFormat="1" applyFont="1" applyAlignment="1">
      <alignment horizontal="right"/>
    </xf>
    <xf numFmtId="167" fontId="36" fillId="0" borderId="0" xfId="5" applyNumberFormat="1" applyFont="1" applyFill="1" applyAlignment="1">
      <alignment horizontal="right" indent="1"/>
    </xf>
    <xf numFmtId="167" fontId="36" fillId="0" borderId="0" xfId="5" applyNumberFormat="1" applyFont="1" applyAlignment="1">
      <alignment horizontal="right"/>
    </xf>
    <xf numFmtId="167" fontId="27" fillId="4" borderId="3" xfId="0" applyNumberFormat="1" applyFont="1" applyFill="1" applyBorder="1"/>
    <xf numFmtId="167" fontId="27" fillId="4" borderId="7" xfId="0" applyNumberFormat="1" applyFont="1" applyFill="1" applyBorder="1"/>
    <xf numFmtId="167" fontId="22" fillId="4" borderId="9" xfId="1" applyNumberFormat="1" applyFont="1" applyFill="1" applyBorder="1" applyAlignment="1">
      <alignment horizontal="center"/>
    </xf>
    <xf numFmtId="167" fontId="28" fillId="0" borderId="8" xfId="0" applyNumberFormat="1" applyFont="1" applyFill="1" applyBorder="1"/>
    <xf numFmtId="167" fontId="28" fillId="0" borderId="0" xfId="0" applyNumberFormat="1" applyFont="1" applyFill="1" applyBorder="1"/>
    <xf numFmtId="167" fontId="28" fillId="0" borderId="10" xfId="0" applyNumberFormat="1" applyFont="1" applyFill="1" applyBorder="1"/>
    <xf numFmtId="167" fontId="36" fillId="0" borderId="0" xfId="5" applyNumberFormat="1" applyFont="1" applyBorder="1" applyAlignment="1">
      <alignment horizontal="right"/>
    </xf>
    <xf numFmtId="167" fontId="37" fillId="0" borderId="0" xfId="5" applyNumberFormat="1" applyFont="1" applyAlignment="1">
      <alignment horizontal="right"/>
    </xf>
    <xf numFmtId="167" fontId="28" fillId="0" borderId="10" xfId="0" applyNumberFormat="1" applyFont="1" applyBorder="1"/>
    <xf numFmtId="1" fontId="6" fillId="0" borderId="0" xfId="0" applyNumberFormat="1" applyFont="1"/>
    <xf numFmtId="1" fontId="20" fillId="0" borderId="0" xfId="3" applyNumberFormat="1" applyFont="1" applyFill="1" applyAlignment="1">
      <alignment horizontal="right"/>
    </xf>
    <xf numFmtId="44" fontId="22" fillId="0" borderId="8" xfId="0" applyNumberFormat="1" applyFont="1" applyFill="1" applyBorder="1"/>
    <xf numFmtId="44" fontId="36" fillId="0" borderId="3" xfId="5" applyNumberFormat="1" applyFont="1" applyBorder="1"/>
    <xf numFmtId="44" fontId="37" fillId="0" borderId="3" xfId="6" applyNumberFormat="1" applyFont="1" applyBorder="1" applyAlignment="1"/>
    <xf numFmtId="44" fontId="26" fillId="0" borderId="3" xfId="0" applyNumberFormat="1" applyFont="1" applyBorder="1"/>
    <xf numFmtId="44" fontId="28" fillId="0" borderId="3" xfId="0" applyNumberFormat="1" applyFont="1" applyBorder="1"/>
    <xf numFmtId="167" fontId="22" fillId="0" borderId="0" xfId="1" applyNumberFormat="1" applyFont="1" applyFill="1" applyAlignment="1"/>
    <xf numFmtId="167" fontId="22" fillId="0" borderId="0" xfId="1" applyNumberFormat="1" applyFont="1" applyFill="1"/>
    <xf numFmtId="49" fontId="20" fillId="0" borderId="0" xfId="1" applyNumberFormat="1" applyFont="1" applyFill="1"/>
    <xf numFmtId="167" fontId="28" fillId="0" borderId="2" xfId="1" applyNumberFormat="1" applyFont="1" applyBorder="1"/>
    <xf numFmtId="167" fontId="20" fillId="0" borderId="0" xfId="1" quotePrefix="1" applyNumberFormat="1" applyFont="1" applyFill="1"/>
    <xf numFmtId="167" fontId="0" fillId="0" borderId="0" xfId="1" applyNumberFormat="1" applyFont="1" applyFill="1"/>
    <xf numFmtId="167" fontId="36" fillId="0" borderId="8" xfId="1" applyNumberFormat="1" applyFont="1" applyFill="1" applyBorder="1" applyAlignment="1">
      <alignment horizontal="center"/>
    </xf>
    <xf numFmtId="167" fontId="6" fillId="0" borderId="8" xfId="1" applyNumberFormat="1" applyFont="1" applyFill="1" applyBorder="1"/>
    <xf numFmtId="167" fontId="29" fillId="0" borderId="0" xfId="1" applyNumberFormat="1" applyFont="1"/>
    <xf numFmtId="167" fontId="29" fillId="0" borderId="2" xfId="1" applyNumberFormat="1" applyFont="1" applyBorder="1"/>
    <xf numFmtId="167" fontId="26" fillId="0" borderId="0" xfId="1" applyNumberFormat="1" applyFont="1" applyFill="1"/>
    <xf numFmtId="167" fontId="29" fillId="0" borderId="1" xfId="1" applyNumberFormat="1" applyFont="1" applyBorder="1"/>
    <xf numFmtId="44" fontId="21" fillId="0" borderId="0" xfId="0" applyNumberFormat="1" applyFont="1" applyFill="1"/>
    <xf numFmtId="44" fontId="21" fillId="0" borderId="0" xfId="3" applyNumberFormat="1" applyFont="1" applyFill="1"/>
    <xf numFmtId="44" fontId="21" fillId="0" borderId="0" xfId="1" applyNumberFormat="1" applyFont="1" applyBorder="1"/>
  </cellXfs>
  <cellStyles count="394">
    <cellStyle name="Comma" xfId="1" builtinId="3"/>
    <cellStyle name="Comma [0]" xfId="2" builtinId="6"/>
    <cellStyle name="Comma [0] 2" xfId="8"/>
    <cellStyle name="Comma 2" xfId="6"/>
    <cellStyle name="Comma 3" xfId="9"/>
    <cellStyle name="Currency" xfId="3" builtinId="4"/>
    <cellStyle name="Currency 2" xfId="7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Normal" xfId="0" builtinId="0"/>
    <cellStyle name="Normal 2" xfId="5"/>
    <cellStyle name="Percent" xfId="4" builtinId="5"/>
  </cellStyles>
  <dxfs count="0"/>
  <tableStyles count="0" defaultTableStyle="TableStyleMedium9" defaultPivotStyle="PivotStyleMedium7"/>
  <colors>
    <mruColors>
      <color rgb="FF2E74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theme" Target="theme/theme1.xml"/><Relationship Id="rId21" Type="http://schemas.openxmlformats.org/officeDocument/2006/relationships/styles" Target="styles.xml"/><Relationship Id="rId22" Type="http://schemas.openxmlformats.org/officeDocument/2006/relationships/sharedStrings" Target="sharedStrings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38100</xdr:rowOff>
    </xdr:from>
    <xdr:to>
      <xdr:col>6</xdr:col>
      <xdr:colOff>824122</xdr:colOff>
      <xdr:row>38</xdr:row>
      <xdr:rowOff>38100</xdr:rowOff>
    </xdr:to>
    <xdr:pic>
      <xdr:nvPicPr>
        <xdr:cNvPr id="2" name="Picture 1" descr="budget cover.pd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1" y="38100"/>
          <a:ext cx="5866021" cy="811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Relationship Id="rId2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Relationship Id="rId2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1.vml"/><Relationship Id="rId2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2.vml"/><Relationship Id="rId2" Type="http://schemas.openxmlformats.org/officeDocument/2006/relationships/comments" Target="../comments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3.vml"/><Relationship Id="rId2" Type="http://schemas.openxmlformats.org/officeDocument/2006/relationships/comments" Target="../comments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4.vml"/><Relationship Id="rId2" Type="http://schemas.openxmlformats.org/officeDocument/2006/relationships/comments" Target="../comments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5.vml"/><Relationship Id="rId2" Type="http://schemas.openxmlformats.org/officeDocument/2006/relationships/comments" Target="../comments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6.vml"/><Relationship Id="rId2" Type="http://schemas.openxmlformats.org/officeDocument/2006/relationships/comments" Target="../comments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7.vml"/><Relationship Id="rId2" Type="http://schemas.openxmlformats.org/officeDocument/2006/relationships/comments" Target="../comments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Layout" workbookViewId="0">
      <selection activeCell="B6" sqref="B6"/>
    </sheetView>
  </sheetViews>
  <sheetFormatPr baseColWidth="10" defaultColWidth="11.1640625" defaultRowHeight="15" x14ac:dyDescent="0"/>
  <sheetData>
    <row r="1" spans="1:14" ht="16" customHeight="1">
      <c r="A1" s="4"/>
      <c r="B1" s="4"/>
      <c r="C1" s="4"/>
      <c r="D1" s="4"/>
      <c r="E1" s="4"/>
      <c r="F1" s="4"/>
      <c r="G1" s="4"/>
    </row>
    <row r="2" spans="1:14" ht="16" customHeight="1">
      <c r="A2" s="4"/>
      <c r="B2" s="4"/>
      <c r="C2" s="4"/>
      <c r="D2" s="4"/>
      <c r="E2" s="4"/>
      <c r="F2" s="4"/>
      <c r="G2" s="4"/>
    </row>
    <row r="3" spans="1:14" ht="25" customHeight="1">
      <c r="A3" s="205"/>
      <c r="B3" s="4"/>
      <c r="C3" s="4"/>
      <c r="D3" s="4"/>
      <c r="E3" s="4"/>
      <c r="F3" s="4"/>
      <c r="G3" s="4"/>
    </row>
    <row r="4" spans="1:14" ht="16" customHeight="1">
      <c r="A4" s="4"/>
      <c r="B4" s="4"/>
      <c r="C4" s="4"/>
      <c r="D4" s="4"/>
      <c r="E4" s="4"/>
      <c r="F4" s="4"/>
      <c r="G4" s="4"/>
    </row>
    <row r="5" spans="1:14" ht="16" customHeight="1">
      <c r="A5" s="4"/>
      <c r="B5" s="4"/>
      <c r="C5" s="4"/>
      <c r="D5" s="4"/>
      <c r="E5" s="4"/>
      <c r="F5" s="4"/>
      <c r="G5" s="4"/>
    </row>
    <row r="6" spans="1:14" ht="16" customHeight="1">
      <c r="A6" s="4"/>
      <c r="B6" s="4"/>
      <c r="C6" s="4"/>
      <c r="D6" s="4"/>
      <c r="E6" s="4"/>
      <c r="F6" s="4"/>
      <c r="G6" s="4"/>
    </row>
    <row r="7" spans="1:14" ht="16" customHeight="1">
      <c r="A7" s="4"/>
      <c r="B7" s="4"/>
      <c r="C7" s="4"/>
      <c r="D7" s="4"/>
      <c r="E7" s="4"/>
      <c r="F7" s="4"/>
      <c r="G7" s="4"/>
    </row>
    <row r="8" spans="1:14" ht="16" customHeight="1">
      <c r="A8" s="4"/>
      <c r="B8" s="4"/>
      <c r="C8" s="4"/>
      <c r="D8" s="4"/>
      <c r="E8" s="4"/>
      <c r="F8" s="4"/>
      <c r="G8" s="4"/>
    </row>
    <row r="9" spans="1:14" ht="16" customHeight="1">
      <c r="A9" s="4"/>
      <c r="B9" s="4"/>
      <c r="C9" s="4"/>
      <c r="D9" s="4"/>
      <c r="E9" s="4"/>
      <c r="F9" s="4"/>
      <c r="G9" s="4"/>
    </row>
    <row r="10" spans="1:14" ht="16" customHeight="1">
      <c r="A10" s="4"/>
      <c r="B10" s="4"/>
      <c r="C10" s="4"/>
      <c r="D10" s="4"/>
      <c r="E10" s="4"/>
      <c r="F10" s="4"/>
      <c r="G10" s="4"/>
    </row>
    <row r="11" spans="1:14" ht="16" customHeight="1">
      <c r="A11" s="4"/>
      <c r="B11" s="4"/>
      <c r="C11" s="4"/>
      <c r="D11" s="4"/>
      <c r="E11" s="4"/>
      <c r="F11" s="4"/>
      <c r="G11" s="4"/>
      <c r="J11" s="1"/>
      <c r="K11" s="1"/>
      <c r="L11" s="1"/>
      <c r="M11" s="1"/>
      <c r="N11" s="1"/>
    </row>
    <row r="12" spans="1:14" ht="16" customHeight="1">
      <c r="A12" s="4"/>
      <c r="B12" s="4"/>
      <c r="C12" s="4"/>
      <c r="D12" s="4"/>
      <c r="E12" s="4"/>
      <c r="F12" s="4"/>
      <c r="G12" s="4"/>
      <c r="J12" s="1"/>
      <c r="K12" s="1"/>
      <c r="L12" s="2"/>
      <c r="M12" s="2"/>
      <c r="N12" s="1"/>
    </row>
    <row r="13" spans="1:14" ht="16" customHeight="1">
      <c r="A13" s="4"/>
      <c r="B13" s="4"/>
      <c r="C13" s="4"/>
      <c r="D13" s="4"/>
      <c r="E13" s="4"/>
      <c r="F13" s="4"/>
      <c r="G13" s="4"/>
      <c r="J13" s="1"/>
      <c r="K13" s="1"/>
      <c r="L13" s="2"/>
      <c r="M13" s="2"/>
      <c r="N13" s="1"/>
    </row>
    <row r="14" spans="1:14" ht="16" customHeight="1">
      <c r="A14" s="4"/>
      <c r="B14" s="4"/>
      <c r="C14" s="4"/>
      <c r="D14" s="4"/>
      <c r="E14" s="4"/>
      <c r="F14" s="4"/>
      <c r="G14" s="4"/>
      <c r="J14" s="1"/>
      <c r="K14" s="1"/>
      <c r="L14" s="1"/>
      <c r="M14" s="1"/>
      <c r="N14" s="1"/>
    </row>
    <row r="15" spans="1:14" ht="16" customHeight="1">
      <c r="A15" s="4"/>
      <c r="B15" s="4"/>
      <c r="C15" s="4"/>
      <c r="D15" s="4"/>
      <c r="E15" s="4"/>
      <c r="F15" s="4"/>
      <c r="G15" s="4"/>
      <c r="J15" s="1"/>
      <c r="K15" s="1"/>
      <c r="L15" s="1"/>
      <c r="M15" s="1"/>
      <c r="N15" s="1"/>
    </row>
    <row r="16" spans="1:14" ht="16" customHeight="1">
      <c r="A16" s="4"/>
      <c r="B16" s="4"/>
      <c r="C16" s="4"/>
      <c r="D16" s="4"/>
      <c r="E16" s="4"/>
      <c r="F16" s="4"/>
      <c r="G16" s="4"/>
      <c r="J16" s="1"/>
      <c r="K16" s="1"/>
      <c r="L16" s="1"/>
      <c r="M16" s="1"/>
      <c r="N16" s="1"/>
    </row>
    <row r="17" spans="1:14" ht="16" customHeight="1">
      <c r="A17" s="4"/>
      <c r="B17" s="4"/>
      <c r="C17" s="4"/>
      <c r="D17" s="4"/>
      <c r="E17" s="4"/>
      <c r="F17" s="4"/>
      <c r="G17" s="4"/>
      <c r="J17" s="1"/>
      <c r="K17" s="1"/>
      <c r="L17" s="1"/>
      <c r="M17" s="1"/>
      <c r="N17" s="1"/>
    </row>
    <row r="18" spans="1:14" ht="16" customHeight="1">
      <c r="A18" s="4"/>
      <c r="B18" s="4"/>
      <c r="C18" s="4"/>
      <c r="D18" s="4"/>
      <c r="E18" s="4"/>
      <c r="F18" s="4"/>
      <c r="G18" s="4"/>
      <c r="J18" s="1"/>
      <c r="K18" s="1"/>
      <c r="L18" s="1"/>
      <c r="M18" s="1"/>
      <c r="N18" s="1"/>
    </row>
    <row r="19" spans="1:14" ht="3" customHeight="1">
      <c r="A19" s="4"/>
      <c r="B19" s="4"/>
      <c r="C19" s="4"/>
      <c r="D19" s="4"/>
      <c r="E19" s="4"/>
      <c r="F19" s="4"/>
      <c r="G19" s="4"/>
    </row>
    <row r="20" spans="1:14" ht="19.25" customHeight="1">
      <c r="A20" s="4"/>
      <c r="B20" s="4"/>
      <c r="C20" s="4"/>
      <c r="D20" s="4"/>
      <c r="E20" s="4"/>
      <c r="F20" s="4"/>
      <c r="G20" s="4"/>
    </row>
    <row r="21" spans="1:14" ht="33.5" customHeight="1">
      <c r="A21" s="4"/>
      <c r="B21" s="4"/>
      <c r="C21" s="4"/>
      <c r="D21" s="4"/>
      <c r="E21" s="4"/>
      <c r="F21" s="4"/>
      <c r="G21" s="4"/>
    </row>
    <row r="22" spans="1:14" ht="31.75" customHeight="1">
      <c r="A22" s="4"/>
      <c r="B22" s="4"/>
      <c r="C22" s="4"/>
      <c r="D22" s="4"/>
      <c r="E22" s="4"/>
      <c r="F22" s="4"/>
      <c r="G22" s="4"/>
    </row>
    <row r="23" spans="1:14" ht="16" customHeight="1">
      <c r="A23" s="4"/>
      <c r="B23" s="4"/>
      <c r="C23" s="4"/>
      <c r="D23" s="4"/>
      <c r="E23" s="4"/>
      <c r="F23" s="4"/>
      <c r="G23" s="4"/>
    </row>
    <row r="24" spans="1:14" ht="16" customHeight="1">
      <c r="A24" s="4"/>
      <c r="B24" s="4"/>
      <c r="C24" s="4"/>
      <c r="D24" s="4"/>
      <c r="E24" s="4"/>
      <c r="F24" s="4"/>
      <c r="G24" s="4"/>
    </row>
    <row r="25" spans="1:14" ht="16" customHeight="1">
      <c r="A25" s="4"/>
      <c r="B25" s="4"/>
      <c r="C25" s="4"/>
      <c r="D25" s="4"/>
      <c r="E25" s="4"/>
      <c r="F25" s="4"/>
      <c r="G25" s="4"/>
    </row>
    <row r="26" spans="1:14" ht="16" customHeight="1">
      <c r="A26" s="4"/>
      <c r="B26" s="4"/>
      <c r="C26" s="4"/>
      <c r="D26" s="4"/>
      <c r="E26" s="4"/>
      <c r="F26" s="4"/>
      <c r="G26" s="4"/>
    </row>
    <row r="27" spans="1:14" ht="16" customHeight="1">
      <c r="A27" s="4"/>
      <c r="B27" s="4"/>
      <c r="C27" s="4"/>
      <c r="D27" s="4"/>
      <c r="E27" s="4"/>
      <c r="F27" s="4"/>
      <c r="G27" s="4"/>
    </row>
    <row r="28" spans="1:14" ht="16" customHeight="1">
      <c r="A28" s="4"/>
      <c r="B28" s="4"/>
      <c r="C28" s="4"/>
      <c r="D28" s="4"/>
      <c r="E28" s="4"/>
      <c r="F28" s="4"/>
      <c r="G28" s="4"/>
    </row>
    <row r="29" spans="1:14" ht="16" customHeight="1">
      <c r="A29" s="4"/>
      <c r="B29" s="4"/>
      <c r="C29" s="4"/>
      <c r="D29" s="4"/>
      <c r="E29" s="4"/>
      <c r="F29" s="4"/>
      <c r="G29" s="4"/>
    </row>
    <row r="30" spans="1:14" ht="16" customHeight="1">
      <c r="A30" s="4"/>
      <c r="B30" s="4"/>
      <c r="C30" s="4"/>
      <c r="D30" s="4"/>
      <c r="E30" s="4"/>
      <c r="F30" s="4"/>
      <c r="G30" s="4"/>
    </row>
    <row r="31" spans="1:14" ht="16" customHeight="1">
      <c r="A31" s="4"/>
      <c r="B31" s="4"/>
      <c r="C31" s="4"/>
      <c r="D31" s="4"/>
      <c r="E31" s="4"/>
      <c r="F31" s="4"/>
      <c r="G31" s="4"/>
    </row>
    <row r="32" spans="1:14" ht="16" customHeight="1">
      <c r="A32" s="4"/>
      <c r="B32" s="4"/>
      <c r="C32" s="4"/>
      <c r="D32" s="4"/>
      <c r="E32" s="4"/>
      <c r="F32" s="4"/>
      <c r="G32" s="4"/>
    </row>
    <row r="33" spans="1:7" ht="16" customHeight="1">
      <c r="A33" s="4"/>
      <c r="B33" s="4"/>
      <c r="C33" s="4"/>
      <c r="D33" s="4"/>
      <c r="E33" s="4"/>
      <c r="F33" s="4"/>
      <c r="G33" s="4"/>
    </row>
    <row r="34" spans="1:7" ht="16" customHeight="1">
      <c r="A34" s="4"/>
      <c r="B34" s="4"/>
      <c r="C34" s="4"/>
      <c r="D34" s="4"/>
      <c r="E34" s="4"/>
      <c r="F34" s="4"/>
      <c r="G34" s="4"/>
    </row>
    <row r="35" spans="1:7" ht="16" customHeight="1">
      <c r="A35" s="4"/>
      <c r="B35" s="4"/>
      <c r="C35" s="4"/>
      <c r="D35" s="4"/>
      <c r="E35" s="4"/>
      <c r="F35" s="4"/>
      <c r="G35" s="4"/>
    </row>
    <row r="36" spans="1:7" ht="16" customHeight="1">
      <c r="A36" s="4"/>
      <c r="B36" s="4"/>
      <c r="C36" s="4"/>
      <c r="D36" s="4"/>
      <c r="E36" s="4"/>
      <c r="F36" s="4"/>
      <c r="G36" s="4"/>
    </row>
    <row r="37" spans="1:7" ht="16" customHeight="1">
      <c r="A37" s="4"/>
      <c r="B37" s="4"/>
      <c r="C37" s="4"/>
      <c r="D37" s="4"/>
      <c r="E37" s="4"/>
      <c r="F37" s="4"/>
      <c r="G37" s="4"/>
    </row>
    <row r="38" spans="1:7" ht="16" customHeight="1">
      <c r="A38" s="4"/>
      <c r="B38" s="4"/>
      <c r="C38" s="4"/>
      <c r="D38" s="4"/>
      <c r="E38" s="4"/>
      <c r="F38" s="4"/>
      <c r="G38" s="4"/>
    </row>
    <row r="39" spans="1:7" ht="16" customHeight="1">
      <c r="A39" s="4"/>
      <c r="B39" s="4"/>
      <c r="C39" s="4"/>
      <c r="D39" s="4"/>
      <c r="E39" s="4"/>
      <c r="F39" s="4"/>
      <c r="G39" s="4"/>
    </row>
    <row r="40" spans="1:7" ht="16" customHeight="1">
      <c r="A40" s="4"/>
      <c r="B40" s="4"/>
      <c r="C40" s="4"/>
      <c r="D40" s="4"/>
      <c r="E40" s="4"/>
      <c r="F40" s="4"/>
      <c r="G40" s="4"/>
    </row>
    <row r="41" spans="1:7" ht="16" customHeight="1">
      <c r="A41" s="4"/>
      <c r="B41" s="4"/>
      <c r="C41" s="4"/>
      <c r="D41" s="4"/>
      <c r="E41" s="4"/>
      <c r="F41" s="4"/>
      <c r="G41" s="4"/>
    </row>
    <row r="42" spans="1:7" ht="16" customHeight="1">
      <c r="A42" s="4"/>
      <c r="B42" s="4"/>
      <c r="C42" s="4"/>
      <c r="D42" s="4"/>
      <c r="E42" s="4"/>
      <c r="F42" s="4"/>
      <c r="G42" s="4"/>
    </row>
  </sheetData>
  <phoneticPr fontId="13" type="noConversion"/>
  <pageMargins left="0.70000000000000007" right="0.70000000000000007" top="0.75000000000000011" bottom="0.75000000000000011" header="0.30000000000000004" footer="0.30000000000000004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4"/>
  <sheetViews>
    <sheetView view="pageLayout" zoomScale="150" zoomScaleNormal="200" zoomScalePageLayoutView="200" workbookViewId="0">
      <selection activeCell="B7" sqref="B7"/>
    </sheetView>
  </sheetViews>
  <sheetFormatPr baseColWidth="10" defaultColWidth="10.83203125" defaultRowHeight="14" x14ac:dyDescent="0"/>
  <cols>
    <col min="1" max="1" width="35.83203125" style="25" customWidth="1"/>
    <col min="2" max="3" width="15.83203125" style="25" customWidth="1"/>
    <col min="4" max="4" width="11" style="25" customWidth="1"/>
    <col min="5" max="16384" width="10.83203125" style="25"/>
  </cols>
  <sheetData>
    <row r="1" spans="1:6" ht="24">
      <c r="A1" s="24" t="s">
        <v>243</v>
      </c>
    </row>
    <row r="2" spans="1:6" ht="24">
      <c r="A2" s="26" t="s">
        <v>126</v>
      </c>
      <c r="D2" s="27"/>
      <c r="E2" s="27"/>
      <c r="F2" s="27"/>
    </row>
    <row r="3" spans="1:6">
      <c r="A3" s="67"/>
      <c r="B3" s="29" t="s">
        <v>17</v>
      </c>
      <c r="C3" s="181" t="s">
        <v>237</v>
      </c>
      <c r="D3" s="27"/>
      <c r="E3" s="31"/>
    </row>
    <row r="4" spans="1:6">
      <c r="A4" s="81" t="s">
        <v>19</v>
      </c>
      <c r="B4" s="33" t="s">
        <v>20</v>
      </c>
      <c r="C4" s="182" t="s">
        <v>238</v>
      </c>
      <c r="D4" s="27"/>
      <c r="E4" s="31"/>
    </row>
    <row r="5" spans="1:6">
      <c r="A5" s="101"/>
      <c r="B5" s="37" t="s">
        <v>44</v>
      </c>
      <c r="C5" s="38">
        <v>0</v>
      </c>
      <c r="D5" s="27"/>
      <c r="E5" s="27"/>
    </row>
    <row r="6" spans="1:6" ht="19" customHeight="1">
      <c r="A6" s="73" t="s">
        <v>34</v>
      </c>
      <c r="B6" s="194">
        <v>0</v>
      </c>
      <c r="C6" s="175">
        <v>0</v>
      </c>
      <c r="D6" s="27"/>
      <c r="E6" s="27"/>
    </row>
    <row r="7" spans="1:6">
      <c r="A7" s="34"/>
      <c r="B7" s="249"/>
      <c r="C7" s="27"/>
      <c r="D7" s="27"/>
      <c r="E7" s="27"/>
    </row>
    <row r="8" spans="1:6">
      <c r="A8" s="35"/>
      <c r="B8" s="61"/>
      <c r="C8" s="82"/>
      <c r="D8" s="27"/>
      <c r="E8" s="61"/>
      <c r="F8" s="35"/>
    </row>
    <row r="9" spans="1:6">
      <c r="A9" s="43" t="s">
        <v>35</v>
      </c>
      <c r="B9" s="83"/>
      <c r="C9" s="83"/>
      <c r="D9" s="27"/>
      <c r="E9" s="61"/>
    </row>
    <row r="10" spans="1:6">
      <c r="A10" s="49" t="s">
        <v>21</v>
      </c>
      <c r="C10" s="27"/>
      <c r="D10" s="27"/>
      <c r="E10" s="27"/>
    </row>
    <row r="11" spans="1:6">
      <c r="A11" s="34" t="s">
        <v>66</v>
      </c>
      <c r="B11" s="34">
        <f>'Honorarium Breakdown'!B38+'Honorarium Breakdown'!B39+'Honorarium Breakdown'!B43+'Honorarium Breakdown'!B42</f>
        <v>20055</v>
      </c>
      <c r="C11" s="57">
        <v>20055</v>
      </c>
      <c r="D11" s="27"/>
      <c r="E11" s="27"/>
    </row>
    <row r="12" spans="1:6">
      <c r="A12" s="34" t="s">
        <v>68</v>
      </c>
      <c r="B12" s="39">
        <v>5500</v>
      </c>
      <c r="C12" s="57">
        <v>5500</v>
      </c>
      <c r="D12" s="27"/>
      <c r="E12" s="27"/>
    </row>
    <row r="13" spans="1:6" ht="21" customHeight="1">
      <c r="A13" s="198" t="s">
        <v>127</v>
      </c>
      <c r="B13" s="134">
        <f>SUM(B11:B12)</f>
        <v>25555</v>
      </c>
      <c r="C13" s="189">
        <f>SUM(C11:C12)</f>
        <v>25555</v>
      </c>
      <c r="D13" s="27"/>
      <c r="E13" s="27"/>
    </row>
    <row r="14" spans="1:6">
      <c r="A14" s="34"/>
      <c r="C14" s="57"/>
      <c r="D14" s="27"/>
      <c r="E14" s="27"/>
    </row>
    <row r="15" spans="1:6">
      <c r="A15" s="87" t="s">
        <v>128</v>
      </c>
      <c r="C15" s="57"/>
      <c r="D15" s="27"/>
      <c r="E15" s="27"/>
    </row>
    <row r="16" spans="1:6">
      <c r="A16" s="34" t="s">
        <v>129</v>
      </c>
      <c r="B16" s="25">
        <v>4500</v>
      </c>
      <c r="C16" s="57">
        <v>4500</v>
      </c>
      <c r="D16" s="27"/>
      <c r="E16" s="27"/>
    </row>
    <row r="17" spans="1:5">
      <c r="A17" s="34" t="s">
        <v>130</v>
      </c>
      <c r="B17" s="39">
        <f>715+415</f>
        <v>1130</v>
      </c>
      <c r="C17" s="57">
        <v>1130</v>
      </c>
      <c r="D17" s="27"/>
      <c r="E17" s="27"/>
    </row>
    <row r="18" spans="1:5" ht="19" customHeight="1">
      <c r="A18" s="198" t="s">
        <v>131</v>
      </c>
      <c r="B18" s="134">
        <f>B16+B17</f>
        <v>5630</v>
      </c>
      <c r="C18" s="197">
        <f>SUM(C16:C17)</f>
        <v>5630</v>
      </c>
      <c r="E18" s="35"/>
    </row>
    <row r="19" spans="1:5">
      <c r="E19" s="35"/>
    </row>
    <row r="20" spans="1:5" ht="23" customHeight="1">
      <c r="A20" s="62" t="s">
        <v>37</v>
      </c>
      <c r="B20" s="110">
        <f>B13+B18</f>
        <v>31185</v>
      </c>
      <c r="C20" s="110">
        <f>C13+C18</f>
        <v>31185</v>
      </c>
      <c r="E20" s="35"/>
    </row>
    <row r="21" spans="1:5">
      <c r="A21" s="62"/>
      <c r="B21" s="49"/>
      <c r="C21" s="49"/>
      <c r="E21" s="35"/>
    </row>
    <row r="22" spans="1:5">
      <c r="B22" s="164"/>
      <c r="C22" s="164"/>
      <c r="E22" s="35"/>
    </row>
    <row r="23" spans="1:5" ht="21" customHeight="1" thickBot="1">
      <c r="A23" s="195" t="s">
        <v>232</v>
      </c>
      <c r="B23" s="152">
        <f>B6-B20</f>
        <v>-31185</v>
      </c>
      <c r="C23" s="196">
        <f>C6-C20</f>
        <v>-31185</v>
      </c>
    </row>
    <row r="24" spans="1:5" ht="15" thickTop="1"/>
  </sheetData>
  <phoneticPr fontId="13" type="noConversion"/>
  <pageMargins left="0.7" right="0.7" top="0.75" bottom="0.75" header="0.3" footer="0.3"/>
  <pageSetup orientation="portrait" horizontalDpi="4294967292" verticalDpi="4294967292"/>
  <colBreaks count="1" manualBreakCount="1">
    <brk id="4" max="1048575" man="1"/>
  </colBreaks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7"/>
  <sheetViews>
    <sheetView view="pageLayout" topLeftCell="A10" zoomScale="200" zoomScaleNormal="200" zoomScalePageLayoutView="200" workbookViewId="0">
      <selection activeCell="B7" sqref="B7"/>
    </sheetView>
  </sheetViews>
  <sheetFormatPr baseColWidth="10" defaultColWidth="10.83203125" defaultRowHeight="15" x14ac:dyDescent="0"/>
  <cols>
    <col min="1" max="1" width="36" style="115" customWidth="1"/>
    <col min="2" max="2" width="16.33203125" style="115" customWidth="1"/>
    <col min="3" max="3" width="15.6640625" style="115" customWidth="1"/>
    <col min="4" max="8" width="10.83203125" style="115"/>
    <col min="9" max="9" width="38.1640625" style="115" customWidth="1"/>
    <col min="10" max="16384" width="10.83203125" style="115"/>
  </cols>
  <sheetData>
    <row r="1" spans="1:4" ht="25">
      <c r="A1" s="114" t="s">
        <v>243</v>
      </c>
    </row>
    <row r="2" spans="1:4" ht="25">
      <c r="A2" s="116" t="s">
        <v>132</v>
      </c>
      <c r="D2" s="117"/>
    </row>
    <row r="3" spans="1:4">
      <c r="D3" s="117"/>
    </row>
    <row r="4" spans="1:4">
      <c r="A4" s="118"/>
      <c r="B4" s="119" t="s">
        <v>17</v>
      </c>
      <c r="C4" s="119" t="s">
        <v>17</v>
      </c>
    </row>
    <row r="5" spans="1:4">
      <c r="A5" s="120" t="s">
        <v>19</v>
      </c>
      <c r="B5" s="121" t="s">
        <v>20</v>
      </c>
      <c r="C5" s="121" t="s">
        <v>234</v>
      </c>
    </row>
    <row r="6" spans="1:4">
      <c r="A6" s="122"/>
      <c r="B6" s="72">
        <v>0</v>
      </c>
      <c r="C6" s="66">
        <v>0</v>
      </c>
    </row>
    <row r="7" spans="1:4">
      <c r="A7" s="123" t="s">
        <v>34</v>
      </c>
      <c r="B7" s="86">
        <v>0</v>
      </c>
      <c r="C7" s="201">
        <v>0</v>
      </c>
    </row>
    <row r="8" spans="1:4">
      <c r="A8" s="122"/>
      <c r="B8" s="35"/>
      <c r="C8" s="66"/>
    </row>
    <row r="9" spans="1:4">
      <c r="A9" s="124"/>
      <c r="B9" s="61"/>
      <c r="C9" s="125"/>
    </row>
    <row r="10" spans="1:4">
      <c r="A10" s="120" t="s">
        <v>35</v>
      </c>
      <c r="B10" s="150"/>
      <c r="C10" s="126"/>
    </row>
    <row r="11" spans="1:4">
      <c r="A11" s="87" t="s">
        <v>133</v>
      </c>
      <c r="B11" s="34"/>
      <c r="C11" s="66"/>
    </row>
    <row r="12" spans="1:4">
      <c r="A12" s="34" t="s">
        <v>134</v>
      </c>
      <c r="B12" s="25">
        <v>26780</v>
      </c>
      <c r="C12" s="66">
        <v>26780</v>
      </c>
    </row>
    <row r="13" spans="1:4">
      <c r="A13" s="34" t="s">
        <v>135</v>
      </c>
      <c r="B13" s="39">
        <v>3500</v>
      </c>
      <c r="C13" s="66">
        <v>3850</v>
      </c>
    </row>
    <row r="14" spans="1:4">
      <c r="A14" s="87" t="s">
        <v>136</v>
      </c>
      <c r="B14" s="134">
        <f>B12+B13</f>
        <v>30280</v>
      </c>
      <c r="C14" s="176">
        <f>SUM(C12:C13)</f>
        <v>30630</v>
      </c>
    </row>
    <row r="15" spans="1:4">
      <c r="A15" s="122"/>
      <c r="B15" s="25"/>
      <c r="C15" s="66"/>
    </row>
    <row r="16" spans="1:4">
      <c r="A16" s="87" t="s">
        <v>137</v>
      </c>
      <c r="B16" s="25"/>
      <c r="C16" s="66"/>
    </row>
    <row r="17" spans="1:4">
      <c r="A17" s="34" t="s">
        <v>134</v>
      </c>
      <c r="B17" s="25">
        <v>14650</v>
      </c>
      <c r="C17" s="66">
        <v>14650</v>
      </c>
    </row>
    <row r="18" spans="1:4">
      <c r="A18" s="34" t="s">
        <v>135</v>
      </c>
      <c r="B18" s="39">
        <v>9000</v>
      </c>
      <c r="C18" s="66">
        <v>9000</v>
      </c>
    </row>
    <row r="19" spans="1:4">
      <c r="A19" s="87" t="s">
        <v>138</v>
      </c>
      <c r="B19" s="134">
        <f>B17+B18</f>
        <v>23650</v>
      </c>
      <c r="C19" s="176">
        <f>SUM(C17:C18)</f>
        <v>23650</v>
      </c>
    </row>
    <row r="20" spans="1:4">
      <c r="A20" s="122"/>
      <c r="B20" s="25"/>
      <c r="C20" s="66"/>
    </row>
    <row r="21" spans="1:4">
      <c r="A21" s="163" t="s">
        <v>66</v>
      </c>
      <c r="B21" s="25">
        <v>515</v>
      </c>
      <c r="C21" s="66">
        <v>515</v>
      </c>
    </row>
    <row r="22" spans="1:4">
      <c r="A22" s="122"/>
      <c r="B22" s="25"/>
      <c r="C22" s="66"/>
    </row>
    <row r="23" spans="1:4">
      <c r="A23" s="199" t="s">
        <v>139</v>
      </c>
      <c r="B23" s="106">
        <f>B14+B19+B21</f>
        <v>54445</v>
      </c>
      <c r="C23" s="242">
        <f>C14+C19+C21</f>
        <v>54795</v>
      </c>
    </row>
    <row r="24" spans="1:4">
      <c r="A24" s="127"/>
      <c r="B24" s="124"/>
      <c r="C24" s="65"/>
      <c r="D24" s="66"/>
    </row>
    <row r="25" spans="1:4" ht="16" thickBot="1">
      <c r="A25" s="40" t="s">
        <v>232</v>
      </c>
      <c r="B25" s="200">
        <f>B7-B23</f>
        <v>-54445</v>
      </c>
      <c r="C25" s="200">
        <f>C7-C23</f>
        <v>-54795</v>
      </c>
      <c r="D25" s="66"/>
    </row>
    <row r="26" spans="1:4" ht="16" thickTop="1">
      <c r="A26" s="79"/>
      <c r="B26" s="128"/>
      <c r="C26" s="128"/>
      <c r="D26" s="117"/>
    </row>
    <row r="27" spans="1:4">
      <c r="A27" s="129"/>
      <c r="B27" s="128"/>
      <c r="C27" s="128"/>
      <c r="D27" s="128"/>
    </row>
  </sheetData>
  <phoneticPr fontId="13" type="noConversion"/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5"/>
  <sheetViews>
    <sheetView view="pageLayout" workbookViewId="0">
      <selection activeCell="B6" sqref="B6"/>
    </sheetView>
  </sheetViews>
  <sheetFormatPr baseColWidth="10" defaultColWidth="10.83203125" defaultRowHeight="14" x14ac:dyDescent="0"/>
  <cols>
    <col min="1" max="1" width="35.83203125" style="25" customWidth="1"/>
    <col min="2" max="2" width="16.33203125" style="25" customWidth="1"/>
    <col min="3" max="3" width="16.1640625" style="25" customWidth="1"/>
    <col min="4" max="16384" width="10.83203125" style="25"/>
  </cols>
  <sheetData>
    <row r="1" spans="1:4" ht="24">
      <c r="A1" s="24" t="s">
        <v>15</v>
      </c>
    </row>
    <row r="2" spans="1:4" ht="24">
      <c r="A2" s="26" t="s">
        <v>231</v>
      </c>
      <c r="D2" s="27"/>
    </row>
    <row r="3" spans="1:4">
      <c r="D3" s="27"/>
    </row>
    <row r="4" spans="1:4">
      <c r="A4" s="118"/>
      <c r="B4" s="119" t="s">
        <v>17</v>
      </c>
      <c r="C4" s="119" t="s">
        <v>17</v>
      </c>
      <c r="D4" s="31"/>
    </row>
    <row r="5" spans="1:4">
      <c r="A5" s="120" t="s">
        <v>19</v>
      </c>
      <c r="B5" s="121" t="s">
        <v>20</v>
      </c>
      <c r="C5" s="121" t="s">
        <v>234</v>
      </c>
      <c r="D5" s="31"/>
    </row>
    <row r="6" spans="1:4">
      <c r="A6" s="34" t="s">
        <v>44</v>
      </c>
      <c r="B6" s="72"/>
      <c r="C6" s="27">
        <v>0</v>
      </c>
    </row>
    <row r="7" spans="1:4" ht="17" customHeight="1">
      <c r="A7" s="73" t="s">
        <v>34</v>
      </c>
      <c r="B7" s="28">
        <v>0</v>
      </c>
      <c r="C7" s="183">
        <v>0</v>
      </c>
    </row>
    <row r="8" spans="1:4">
      <c r="A8" s="34"/>
      <c r="B8" s="35"/>
      <c r="C8" s="27"/>
    </row>
    <row r="9" spans="1:4">
      <c r="A9" s="35"/>
      <c r="B9" s="61"/>
      <c r="C9" s="61"/>
    </row>
    <row r="10" spans="1:4">
      <c r="A10" s="202" t="s">
        <v>244</v>
      </c>
      <c r="B10" s="203"/>
      <c r="C10" s="204"/>
    </row>
    <row r="11" spans="1:4">
      <c r="A11" s="34" t="s">
        <v>140</v>
      </c>
      <c r="B11" s="25">
        <v>4000</v>
      </c>
      <c r="C11" s="27">
        <v>4000</v>
      </c>
    </row>
    <row r="12" spans="1:4">
      <c r="A12" s="25" t="s">
        <v>141</v>
      </c>
      <c r="B12" s="45">
        <v>2500</v>
      </c>
      <c r="C12" s="27">
        <v>3000</v>
      </c>
    </row>
    <row r="13" spans="1:4">
      <c r="A13" s="25" t="s">
        <v>125</v>
      </c>
      <c r="B13" s="25">
        <f>'Honorarium Breakdown'!B51+'Honorarium Breakdown'!B53</f>
        <v>1340</v>
      </c>
      <c r="C13" s="27">
        <v>1340</v>
      </c>
    </row>
    <row r="14" spans="1:4">
      <c r="A14" s="36" t="s">
        <v>142</v>
      </c>
      <c r="B14" s="25">
        <v>1000</v>
      </c>
      <c r="C14" s="27">
        <v>1000</v>
      </c>
    </row>
    <row r="15" spans="1:4">
      <c r="A15" s="34" t="s">
        <v>143</v>
      </c>
      <c r="B15" s="35">
        <v>4200</v>
      </c>
      <c r="C15" s="27">
        <v>4200</v>
      </c>
    </row>
    <row r="16" spans="1:4" ht="18" customHeight="1">
      <c r="A16" s="73" t="s">
        <v>144</v>
      </c>
      <c r="B16" s="110">
        <f>SUM(B11:B15)</f>
        <v>13040</v>
      </c>
      <c r="C16" s="176">
        <f>SUM(C11:C15)</f>
        <v>13540</v>
      </c>
    </row>
    <row r="17" spans="1:6">
      <c r="A17" s="34"/>
      <c r="B17" s="34"/>
      <c r="D17" s="27"/>
    </row>
    <row r="18" spans="1:6" ht="17" customHeight="1" thickBot="1">
      <c r="A18" s="207" t="s">
        <v>232</v>
      </c>
      <c r="B18" s="208">
        <f>B7-B16</f>
        <v>-13040</v>
      </c>
      <c r="C18" s="208">
        <f>C7-C16</f>
        <v>-13540</v>
      </c>
      <c r="D18" s="27"/>
    </row>
    <row r="19" spans="1:6" ht="15" thickTop="1">
      <c r="D19" s="27"/>
    </row>
    <row r="20" spans="1:6">
      <c r="A20" s="34"/>
      <c r="B20" s="34"/>
      <c r="D20" s="27"/>
    </row>
    <row r="21" spans="1:6">
      <c r="A21" s="84"/>
      <c r="B21" s="85"/>
      <c r="C21" s="85"/>
      <c r="D21" s="109"/>
      <c r="F21" s="35"/>
    </row>
    <row r="22" spans="1:6">
      <c r="A22" s="84"/>
      <c r="B22" s="85"/>
      <c r="C22" s="85"/>
      <c r="D22" s="109"/>
      <c r="F22" s="35"/>
    </row>
    <row r="23" spans="1:6">
      <c r="A23" s="84"/>
      <c r="B23" s="85"/>
      <c r="C23" s="85"/>
      <c r="D23" s="109"/>
      <c r="F23" s="35"/>
    </row>
    <row r="24" spans="1:6">
      <c r="A24" s="36"/>
      <c r="B24" s="35"/>
      <c r="C24" s="35"/>
      <c r="D24" s="35"/>
      <c r="E24" s="35"/>
      <c r="F24" s="35"/>
    </row>
    <row r="25" spans="1:6">
      <c r="A25" s="96"/>
      <c r="B25" s="35"/>
      <c r="C25" s="35"/>
      <c r="D25" s="35"/>
      <c r="E25" s="35"/>
      <c r="F25" s="35"/>
    </row>
  </sheetData>
  <phoneticPr fontId="13" type="noConversion"/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3"/>
  <sheetViews>
    <sheetView view="pageLayout" workbookViewId="0">
      <selection activeCell="B7" sqref="B7"/>
    </sheetView>
  </sheetViews>
  <sheetFormatPr baseColWidth="10" defaultColWidth="10.83203125" defaultRowHeight="15" x14ac:dyDescent="0"/>
  <cols>
    <col min="1" max="1" width="35.33203125" style="115" customWidth="1"/>
    <col min="2" max="3" width="16.1640625" style="115" customWidth="1"/>
    <col min="4" max="16384" width="10.83203125" style="115"/>
  </cols>
  <sheetData>
    <row r="1" spans="1:6" ht="24">
      <c r="A1" s="24" t="s">
        <v>243</v>
      </c>
    </row>
    <row r="2" spans="1:6" ht="24">
      <c r="A2" s="26" t="s">
        <v>28</v>
      </c>
      <c r="D2" s="117"/>
      <c r="E2" s="117"/>
    </row>
    <row r="3" spans="1:6" ht="24">
      <c r="A3" s="26"/>
      <c r="D3" s="117"/>
      <c r="E3" s="117"/>
    </row>
    <row r="4" spans="1:6">
      <c r="A4" s="28"/>
      <c r="B4" s="131" t="s">
        <v>17</v>
      </c>
      <c r="C4" s="131" t="s">
        <v>17</v>
      </c>
      <c r="D4" s="117"/>
      <c r="F4" s="65"/>
    </row>
    <row r="5" spans="1:6">
      <c r="A5" s="59" t="s">
        <v>19</v>
      </c>
      <c r="B5" s="132" t="s">
        <v>20</v>
      </c>
      <c r="C5" s="132" t="s">
        <v>234</v>
      </c>
      <c r="D5" s="117"/>
      <c r="F5" s="65"/>
    </row>
    <row r="6" spans="1:6">
      <c r="A6" s="34" t="s">
        <v>145</v>
      </c>
      <c r="B6" s="35">
        <v>4000</v>
      </c>
      <c r="C6" s="27">
        <v>4000</v>
      </c>
      <c r="D6" s="117"/>
      <c r="F6" s="65"/>
    </row>
    <row r="7" spans="1:6" ht="18" customHeight="1">
      <c r="A7" s="73" t="s">
        <v>34</v>
      </c>
      <c r="B7" s="110">
        <f>B6</f>
        <v>4000</v>
      </c>
      <c r="C7" s="176">
        <f>C6</f>
        <v>4000</v>
      </c>
      <c r="D7" s="117"/>
      <c r="F7" s="65"/>
    </row>
    <row r="8" spans="1:6">
      <c r="A8" s="34"/>
      <c r="B8" s="35"/>
      <c r="C8" s="66"/>
      <c r="D8" s="117"/>
      <c r="F8" s="65"/>
    </row>
    <row r="9" spans="1:6">
      <c r="A9" s="25"/>
      <c r="B9" s="25"/>
      <c r="C9" s="66"/>
      <c r="D9" s="117"/>
      <c r="F9" s="65"/>
    </row>
    <row r="10" spans="1:6">
      <c r="A10" s="28"/>
      <c r="B10" s="28"/>
      <c r="C10" s="70"/>
      <c r="D10" s="117"/>
      <c r="F10" s="65"/>
    </row>
    <row r="11" spans="1:6">
      <c r="A11" s="59" t="s">
        <v>35</v>
      </c>
      <c r="B11" s="132"/>
      <c r="C11" s="132"/>
      <c r="D11" s="117"/>
      <c r="F11" s="65"/>
    </row>
    <row r="12" spans="1:6">
      <c r="A12" s="34" t="s">
        <v>146</v>
      </c>
      <c r="B12" s="25">
        <v>8000</v>
      </c>
      <c r="C12" s="27">
        <v>8000</v>
      </c>
      <c r="D12" s="117"/>
      <c r="F12" s="65"/>
    </row>
    <row r="13" spans="1:6">
      <c r="A13" s="34" t="s">
        <v>66</v>
      </c>
      <c r="B13" s="39">
        <v>1030</v>
      </c>
      <c r="C13" s="27">
        <v>1030</v>
      </c>
      <c r="D13" s="117"/>
      <c r="F13" s="65"/>
    </row>
    <row r="14" spans="1:6" ht="19" customHeight="1">
      <c r="A14" s="73" t="s">
        <v>147</v>
      </c>
      <c r="B14" s="134">
        <f>SUM(B12:B13)</f>
        <v>9030</v>
      </c>
      <c r="C14" s="176">
        <f>SUM(C12:C13)</f>
        <v>9030</v>
      </c>
      <c r="D14" s="117"/>
      <c r="F14" s="65"/>
    </row>
    <row r="15" spans="1:6">
      <c r="A15" s="36"/>
      <c r="B15" s="25"/>
      <c r="C15" s="130"/>
      <c r="D15" s="117"/>
      <c r="F15" s="65"/>
    </row>
    <row r="16" spans="1:6">
      <c r="A16" s="36"/>
      <c r="B16" s="25"/>
      <c r="C16" s="130"/>
      <c r="D16" s="117"/>
      <c r="F16" s="65"/>
    </row>
    <row r="17" spans="1:7" ht="16" thickBot="1">
      <c r="A17" s="40" t="s">
        <v>232</v>
      </c>
      <c r="B17" s="152">
        <f>B7-B14</f>
        <v>-5030</v>
      </c>
      <c r="C17" s="178">
        <f>C7-C14</f>
        <v>-5030</v>
      </c>
      <c r="D17" s="117"/>
      <c r="F17" s="65"/>
    </row>
    <row r="18" spans="1:7" ht="16" thickTop="1">
      <c r="A18" s="25"/>
      <c r="B18" s="25"/>
      <c r="C18" s="35"/>
      <c r="D18" s="66"/>
      <c r="E18" s="117"/>
      <c r="G18" s="65"/>
    </row>
    <row r="19" spans="1:7">
      <c r="A19" s="127"/>
      <c r="B19" s="124"/>
      <c r="C19" s="124"/>
      <c r="D19" s="66"/>
      <c r="E19" s="117"/>
      <c r="G19" s="65"/>
    </row>
    <row r="20" spans="1:7">
      <c r="A20" s="127"/>
      <c r="B20" s="124"/>
      <c r="C20" s="124"/>
      <c r="D20" s="66"/>
      <c r="E20" s="117"/>
      <c r="G20" s="65"/>
    </row>
    <row r="21" spans="1:7">
      <c r="A21" s="79"/>
      <c r="B21" s="128"/>
      <c r="C21" s="128"/>
      <c r="D21" s="117"/>
      <c r="E21" s="117"/>
      <c r="F21" s="128"/>
    </row>
    <row r="22" spans="1:7">
      <c r="A22" s="79"/>
      <c r="B22" s="128"/>
      <c r="C22" s="128"/>
      <c r="D22" s="128"/>
      <c r="E22" s="128"/>
      <c r="F22" s="128"/>
    </row>
    <row r="23" spans="1:7">
      <c r="A23" s="129"/>
      <c r="B23" s="128"/>
      <c r="C23" s="128"/>
      <c r="D23" s="128"/>
      <c r="E23" s="128"/>
      <c r="F23" s="128"/>
    </row>
  </sheetData>
  <phoneticPr fontId="13" type="noConversion"/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8"/>
  <sheetViews>
    <sheetView view="pageLayout" workbookViewId="0">
      <selection activeCell="B7" sqref="B7"/>
    </sheetView>
  </sheetViews>
  <sheetFormatPr baseColWidth="10" defaultColWidth="10.83203125" defaultRowHeight="14" x14ac:dyDescent="0"/>
  <cols>
    <col min="1" max="1" width="35.6640625" style="25" customWidth="1"/>
    <col min="2" max="2" width="16.33203125" style="25" customWidth="1"/>
    <col min="3" max="3" width="16.1640625" style="25" customWidth="1"/>
    <col min="4" max="9" width="10.83203125" style="25"/>
    <col min="10" max="10" width="23" style="25" customWidth="1"/>
    <col min="11" max="16384" width="10.83203125" style="25"/>
  </cols>
  <sheetData>
    <row r="1" spans="1:4" ht="24">
      <c r="A1" s="24" t="s">
        <v>243</v>
      </c>
    </row>
    <row r="2" spans="1:4" ht="24">
      <c r="A2" s="26" t="s">
        <v>148</v>
      </c>
      <c r="D2" s="27"/>
    </row>
    <row r="3" spans="1:4" ht="24">
      <c r="A3" s="26"/>
      <c r="D3" s="27"/>
    </row>
    <row r="4" spans="1:4">
      <c r="A4" s="135"/>
      <c r="B4" s="29" t="s">
        <v>17</v>
      </c>
      <c r="C4" s="29" t="s">
        <v>17</v>
      </c>
    </row>
    <row r="5" spans="1:4">
      <c r="A5" s="32" t="s">
        <v>19</v>
      </c>
      <c r="B5" s="33" t="s">
        <v>20</v>
      </c>
      <c r="C5" s="33" t="s">
        <v>234</v>
      </c>
    </row>
    <row r="6" spans="1:4">
      <c r="A6" s="34" t="s">
        <v>95</v>
      </c>
      <c r="B6" s="136">
        <v>4000</v>
      </c>
      <c r="C6" s="27">
        <v>0</v>
      </c>
    </row>
    <row r="7" spans="1:4" ht="17" customHeight="1">
      <c r="A7" s="73" t="s">
        <v>149</v>
      </c>
      <c r="B7" s="137">
        <f>B6</f>
        <v>4000</v>
      </c>
      <c r="C7" s="175">
        <v>0</v>
      </c>
    </row>
    <row r="8" spans="1:4">
      <c r="C8" s="27"/>
    </row>
    <row r="9" spans="1:4">
      <c r="C9" s="27"/>
    </row>
    <row r="10" spans="1:4">
      <c r="A10" s="138"/>
      <c r="B10" s="35"/>
      <c r="C10" s="27"/>
    </row>
    <row r="11" spans="1:4">
      <c r="A11" s="34"/>
      <c r="B11" s="35"/>
      <c r="C11" s="27"/>
    </row>
    <row r="12" spans="1:4">
      <c r="A12" s="35"/>
      <c r="B12" s="61"/>
      <c r="C12" s="61"/>
    </row>
    <row r="13" spans="1:4">
      <c r="A13" s="139" t="s">
        <v>35</v>
      </c>
      <c r="B13" s="140"/>
      <c r="C13" s="140"/>
    </row>
    <row r="14" spans="1:4">
      <c r="A14" s="34" t="s">
        <v>150</v>
      </c>
      <c r="B14" s="34">
        <v>2500</v>
      </c>
      <c r="C14" s="27">
        <v>2500</v>
      </c>
    </row>
    <row r="15" spans="1:4">
      <c r="A15" s="34" t="s">
        <v>111</v>
      </c>
      <c r="B15" s="34">
        <f>15500*1.01</f>
        <v>15655</v>
      </c>
      <c r="C15" s="27">
        <f>B15*1.014</f>
        <v>15874.17</v>
      </c>
    </row>
    <row r="16" spans="1:4">
      <c r="A16" s="36" t="s">
        <v>151</v>
      </c>
      <c r="B16" s="25">
        <v>900</v>
      </c>
      <c r="C16" s="27">
        <v>900</v>
      </c>
    </row>
    <row r="17" spans="1:9">
      <c r="A17" s="34" t="s">
        <v>54</v>
      </c>
      <c r="B17" s="34">
        <v>2200</v>
      </c>
      <c r="C17" s="27">
        <v>1600</v>
      </c>
      <c r="F17" s="172"/>
      <c r="G17" s="172"/>
      <c r="H17" s="172"/>
      <c r="I17" s="172"/>
    </row>
    <row r="18" spans="1:9">
      <c r="A18" s="36" t="s">
        <v>283</v>
      </c>
      <c r="B18" s="34">
        <v>4500</v>
      </c>
      <c r="C18" s="27">
        <v>4100</v>
      </c>
      <c r="F18" s="172"/>
      <c r="G18" s="172"/>
      <c r="H18" s="172"/>
      <c r="I18" s="172"/>
    </row>
    <row r="19" spans="1:9">
      <c r="A19" s="34" t="s">
        <v>152</v>
      </c>
      <c r="B19" s="34">
        <v>250</v>
      </c>
      <c r="C19" s="25">
        <v>250</v>
      </c>
    </row>
    <row r="20" spans="1:9">
      <c r="A20" s="34" t="s">
        <v>60</v>
      </c>
      <c r="B20" s="75">
        <v>1000</v>
      </c>
      <c r="C20" s="25">
        <v>1000</v>
      </c>
    </row>
    <row r="21" spans="1:9" ht="18" customHeight="1">
      <c r="A21" s="73" t="s">
        <v>37</v>
      </c>
      <c r="B21" s="137">
        <f>SUM(B14:B20)</f>
        <v>27005</v>
      </c>
      <c r="C21" s="194">
        <f>SUM(C14:C20)</f>
        <v>26224.17</v>
      </c>
    </row>
    <row r="22" spans="1:9">
      <c r="C22" s="34"/>
    </row>
    <row r="23" spans="1:9" ht="15" thickBot="1">
      <c r="A23" s="210" t="s">
        <v>232</v>
      </c>
      <c r="B23" s="196">
        <f>B7-B21</f>
        <v>-23005</v>
      </c>
      <c r="C23" s="211">
        <f>C7-C21</f>
        <v>-26224.17</v>
      </c>
      <c r="D23" s="85"/>
      <c r="E23" s="34"/>
    </row>
    <row r="24" spans="1:9" ht="15" thickTop="1">
      <c r="C24" s="35"/>
      <c r="D24" s="35"/>
      <c r="E24" s="35"/>
    </row>
    <row r="25" spans="1:9">
      <c r="A25" s="36"/>
      <c r="B25" s="35"/>
      <c r="C25" s="35"/>
      <c r="D25" s="35"/>
      <c r="E25" s="35"/>
      <c r="F25" s="35"/>
    </row>
    <row r="26" spans="1:9">
      <c r="A26" s="36"/>
      <c r="B26" s="35"/>
      <c r="C26" s="35"/>
      <c r="D26" s="35"/>
      <c r="E26" s="35"/>
      <c r="F26" s="35"/>
    </row>
    <row r="27" spans="1:9">
      <c r="A27" s="36"/>
      <c r="B27" s="35"/>
      <c r="C27" s="35"/>
      <c r="D27" s="35"/>
      <c r="E27" s="35"/>
      <c r="F27" s="35"/>
    </row>
    <row r="28" spans="1:9">
      <c r="A28" s="96"/>
      <c r="B28" s="35"/>
      <c r="C28" s="35"/>
      <c r="D28" s="35"/>
      <c r="E28" s="35"/>
      <c r="F28" s="35"/>
    </row>
  </sheetData>
  <phoneticPr fontId="13" type="noConversion"/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"/>
  <sheetViews>
    <sheetView view="pageLayout" topLeftCell="A19" zoomScale="125" zoomScaleNormal="200" zoomScalePageLayoutView="200" workbookViewId="0">
      <selection activeCell="B46" sqref="B46"/>
    </sheetView>
  </sheetViews>
  <sheetFormatPr baseColWidth="10" defaultColWidth="10.83203125" defaultRowHeight="14" x14ac:dyDescent="0"/>
  <cols>
    <col min="1" max="1" width="36.1640625" style="25" customWidth="1"/>
    <col min="2" max="2" width="16" style="25" customWidth="1"/>
    <col min="3" max="3" width="16.5" style="25" customWidth="1"/>
    <col min="4" max="4" width="10.83203125" style="25"/>
    <col min="5" max="5" width="11.83203125" style="25" bestFit="1" customWidth="1"/>
    <col min="6" max="8" width="10.83203125" style="25"/>
    <col min="9" max="9" width="34" style="25" customWidth="1"/>
    <col min="10" max="10" width="11.83203125" style="25" bestFit="1" customWidth="1"/>
    <col min="11" max="12" width="10.83203125" style="25"/>
    <col min="13" max="13" width="11.83203125" style="25" bestFit="1" customWidth="1"/>
    <col min="14" max="16384" width="10.83203125" style="25"/>
  </cols>
  <sheetData>
    <row r="1" spans="1:12" ht="24">
      <c r="A1" s="24" t="s">
        <v>243</v>
      </c>
    </row>
    <row r="2" spans="1:12" ht="24">
      <c r="A2" s="26" t="s">
        <v>153</v>
      </c>
      <c r="D2" s="27"/>
    </row>
    <row r="3" spans="1:12">
      <c r="A3" s="67"/>
      <c r="B3" s="29" t="s">
        <v>17</v>
      </c>
      <c r="C3" s="213" t="s">
        <v>17</v>
      </c>
    </row>
    <row r="4" spans="1:12" ht="12" customHeight="1">
      <c r="A4" s="43" t="s">
        <v>19</v>
      </c>
      <c r="B4" s="212" t="s">
        <v>20</v>
      </c>
      <c r="C4" s="214" t="s">
        <v>234</v>
      </c>
    </row>
    <row r="5" spans="1:12">
      <c r="A5" s="34" t="s">
        <v>154</v>
      </c>
      <c r="B5" s="34">
        <v>22000</v>
      </c>
      <c r="C5" s="27">
        <v>25000</v>
      </c>
      <c r="G5" s="34"/>
      <c r="H5" s="35"/>
      <c r="I5" s="35"/>
      <c r="J5" s="35"/>
      <c r="K5" s="35"/>
      <c r="L5" s="35"/>
    </row>
    <row r="6" spans="1:12">
      <c r="A6" s="34" t="s">
        <v>85</v>
      </c>
      <c r="B6" s="34">
        <v>315000</v>
      </c>
      <c r="C6" s="27">
        <v>300000</v>
      </c>
      <c r="G6" s="138"/>
      <c r="H6" s="35"/>
      <c r="I6" s="35"/>
      <c r="J6" s="35"/>
      <c r="K6" s="35"/>
      <c r="L6" s="35"/>
    </row>
    <row r="7" spans="1:12">
      <c r="A7" s="34" t="s">
        <v>155</v>
      </c>
      <c r="B7" s="34">
        <v>1200</v>
      </c>
      <c r="C7" s="27">
        <v>1000</v>
      </c>
      <c r="G7" s="34"/>
      <c r="H7" s="35"/>
      <c r="I7" s="35"/>
      <c r="J7" s="35"/>
      <c r="K7" s="35"/>
      <c r="L7" s="35"/>
    </row>
    <row r="8" spans="1:12">
      <c r="A8" s="34" t="s">
        <v>91</v>
      </c>
      <c r="B8" s="34">
        <v>1000</v>
      </c>
      <c r="C8" s="27">
        <v>1000</v>
      </c>
    </row>
    <row r="9" spans="1:12">
      <c r="A9" s="34" t="s">
        <v>156</v>
      </c>
      <c r="B9" s="34">
        <v>50000</v>
      </c>
      <c r="C9" s="27">
        <v>50000</v>
      </c>
    </row>
    <row r="10" spans="1:12">
      <c r="A10" s="34" t="s">
        <v>157</v>
      </c>
      <c r="B10" s="34">
        <v>250</v>
      </c>
      <c r="C10" s="27">
        <v>0</v>
      </c>
      <c r="G10" s="36"/>
      <c r="H10" s="35"/>
      <c r="I10" s="35"/>
      <c r="J10" s="35"/>
      <c r="K10" s="35"/>
      <c r="L10" s="35"/>
    </row>
    <row r="11" spans="1:12">
      <c r="A11" s="34" t="s">
        <v>158</v>
      </c>
      <c r="B11" s="75">
        <v>13000</v>
      </c>
      <c r="C11" s="27">
        <v>13000</v>
      </c>
      <c r="G11" s="36"/>
      <c r="H11" s="35"/>
      <c r="I11" s="35"/>
      <c r="J11" s="35"/>
      <c r="K11" s="35"/>
      <c r="L11" s="35"/>
    </row>
    <row r="12" spans="1:12" ht="16" customHeight="1">
      <c r="A12" s="73" t="s">
        <v>149</v>
      </c>
      <c r="B12" s="133">
        <f>SUM(B5:B11)</f>
        <v>402450</v>
      </c>
      <c r="C12" s="176">
        <f>SUM(C5:C11)</f>
        <v>390000</v>
      </c>
      <c r="G12" s="36"/>
      <c r="H12" s="35"/>
      <c r="I12" s="35"/>
      <c r="J12" s="35"/>
      <c r="K12" s="35"/>
      <c r="L12" s="35"/>
    </row>
    <row r="13" spans="1:12" ht="10" customHeight="1">
      <c r="C13" s="27"/>
      <c r="G13" s="36"/>
      <c r="H13" s="35"/>
      <c r="I13" s="35"/>
      <c r="J13" s="35"/>
      <c r="K13" s="35"/>
      <c r="L13" s="35"/>
    </row>
    <row r="14" spans="1:12" ht="1" customHeight="1">
      <c r="A14" s="35"/>
      <c r="B14" s="61"/>
      <c r="C14" s="61"/>
      <c r="G14" s="36"/>
      <c r="H14" s="35"/>
      <c r="I14" s="35"/>
      <c r="J14" s="35"/>
      <c r="K14" s="35"/>
      <c r="L14" s="35"/>
    </row>
    <row r="15" spans="1:12">
      <c r="A15" s="43" t="s">
        <v>35</v>
      </c>
      <c r="B15" s="44"/>
      <c r="C15" s="215"/>
      <c r="G15" s="36"/>
      <c r="H15" s="35"/>
      <c r="I15" s="35"/>
      <c r="J15" s="35"/>
      <c r="K15" s="35"/>
      <c r="L15" s="35"/>
    </row>
    <row r="16" spans="1:12">
      <c r="A16" s="34" t="s">
        <v>86</v>
      </c>
      <c r="B16" s="25">
        <v>22000</v>
      </c>
      <c r="C16" s="27">
        <v>20000</v>
      </c>
      <c r="G16" s="36"/>
      <c r="H16" s="35"/>
      <c r="I16" s="35"/>
      <c r="J16" s="35"/>
      <c r="K16" s="35"/>
      <c r="L16" s="35"/>
    </row>
    <row r="17" spans="1:12">
      <c r="A17" s="34" t="s">
        <v>87</v>
      </c>
      <c r="B17" s="25">
        <v>6000</v>
      </c>
      <c r="C17" s="27">
        <v>8000</v>
      </c>
      <c r="G17" s="36"/>
      <c r="H17" s="35"/>
      <c r="I17" s="35"/>
      <c r="J17" s="35"/>
      <c r="K17" s="35"/>
      <c r="L17" s="35"/>
    </row>
    <row r="18" spans="1:12">
      <c r="A18" s="34"/>
      <c r="C18" s="27"/>
      <c r="G18" s="36"/>
      <c r="H18" s="35"/>
      <c r="I18" s="35"/>
      <c r="J18" s="35"/>
      <c r="K18" s="35"/>
      <c r="L18" s="35"/>
    </row>
    <row r="19" spans="1:12">
      <c r="A19" s="34" t="s">
        <v>246</v>
      </c>
      <c r="B19" s="25">
        <v>1000</v>
      </c>
      <c r="C19" s="27">
        <v>1000</v>
      </c>
      <c r="G19" s="36"/>
      <c r="H19" s="35"/>
      <c r="I19" s="35"/>
      <c r="J19" s="35"/>
      <c r="K19" s="35"/>
      <c r="L19" s="35"/>
    </row>
    <row r="20" spans="1:12" ht="14" customHeight="1">
      <c r="A20" s="36" t="s">
        <v>160</v>
      </c>
      <c r="B20" s="25">
        <v>2500</v>
      </c>
      <c r="C20" s="27">
        <v>2500</v>
      </c>
      <c r="G20" s="36"/>
      <c r="H20" s="35"/>
      <c r="I20" s="35"/>
      <c r="J20" s="35"/>
      <c r="K20" s="35"/>
      <c r="L20" s="35"/>
    </row>
    <row r="21" spans="1:12" ht="14" customHeight="1">
      <c r="A21" s="34" t="s">
        <v>168</v>
      </c>
      <c r="B21" s="25">
        <v>2000</v>
      </c>
      <c r="C21" s="25">
        <v>2000</v>
      </c>
    </row>
    <row r="22" spans="1:12" ht="14" customHeight="1">
      <c r="A22" s="34" t="s">
        <v>89</v>
      </c>
      <c r="B22" s="25">
        <v>300</v>
      </c>
      <c r="C22" s="27">
        <v>0</v>
      </c>
    </row>
    <row r="23" spans="1:12">
      <c r="A23" s="34" t="s">
        <v>169</v>
      </c>
      <c r="B23" s="25">
        <v>13500</v>
      </c>
      <c r="C23" s="27">
        <v>14600</v>
      </c>
      <c r="G23" s="36"/>
      <c r="H23" s="35"/>
      <c r="I23" s="35"/>
      <c r="J23" s="35"/>
      <c r="K23" s="35"/>
      <c r="L23" s="35"/>
    </row>
    <row r="24" spans="1:12">
      <c r="A24" s="34" t="s">
        <v>109</v>
      </c>
      <c r="B24" s="25">
        <v>55000</v>
      </c>
      <c r="C24" s="27">
        <v>55000</v>
      </c>
    </row>
    <row r="25" spans="1:12" ht="15" customHeight="1">
      <c r="A25" s="34" t="s">
        <v>164</v>
      </c>
      <c r="B25" s="25">
        <v>1500</v>
      </c>
      <c r="C25" s="25">
        <v>1500</v>
      </c>
    </row>
    <row r="26" spans="1:12">
      <c r="A26" s="34" t="s">
        <v>248</v>
      </c>
      <c r="B26" s="25">
        <v>3000</v>
      </c>
      <c r="C26" s="25">
        <v>3000</v>
      </c>
    </row>
    <row r="27" spans="1:12" ht="14" customHeight="1">
      <c r="A27" s="34" t="s">
        <v>167</v>
      </c>
      <c r="B27" s="25">
        <f>B6*0.45</f>
        <v>141750</v>
      </c>
      <c r="C27" s="25">
        <f>C6*0.4</f>
        <v>120000</v>
      </c>
    </row>
    <row r="28" spans="1:12" ht="14" customHeight="1">
      <c r="A28" s="34" t="s">
        <v>146</v>
      </c>
      <c r="B28" s="25">
        <v>0</v>
      </c>
      <c r="C28" s="25">
        <v>1500</v>
      </c>
    </row>
    <row r="29" spans="1:12" ht="14" customHeight="1">
      <c r="A29" s="34" t="s">
        <v>165</v>
      </c>
      <c r="B29" s="25">
        <v>9000</v>
      </c>
      <c r="C29" s="25">
        <v>9000</v>
      </c>
    </row>
    <row r="30" spans="1:12" ht="14" customHeight="1">
      <c r="A30" s="34" t="s">
        <v>91</v>
      </c>
      <c r="B30" s="25">
        <v>1000</v>
      </c>
      <c r="C30" s="25">
        <v>1000</v>
      </c>
    </row>
    <row r="31" spans="1:12" ht="14" customHeight="1">
      <c r="A31" s="34" t="s">
        <v>60</v>
      </c>
      <c r="B31" s="25">
        <v>3000</v>
      </c>
      <c r="C31" s="25">
        <v>3000</v>
      </c>
    </row>
    <row r="32" spans="1:12" ht="14" customHeight="1">
      <c r="A32" s="34" t="s">
        <v>163</v>
      </c>
      <c r="B32" s="25">
        <v>8000</v>
      </c>
      <c r="C32" s="25">
        <v>8000</v>
      </c>
    </row>
    <row r="33" spans="1:12" ht="14" customHeight="1">
      <c r="A33" s="34" t="s">
        <v>104</v>
      </c>
      <c r="B33" s="45">
        <v>1000</v>
      </c>
      <c r="C33" s="25">
        <v>0</v>
      </c>
    </row>
    <row r="34" spans="1:12" ht="13" customHeight="1">
      <c r="A34" s="34" t="s">
        <v>171</v>
      </c>
      <c r="B34" s="35">
        <v>750</v>
      </c>
      <c r="C34" s="25">
        <v>0</v>
      </c>
    </row>
    <row r="35" spans="1:12" ht="13" customHeight="1">
      <c r="A35" s="36" t="s">
        <v>74</v>
      </c>
      <c r="B35" s="35">
        <v>1700</v>
      </c>
      <c r="C35" s="25">
        <v>1700</v>
      </c>
    </row>
    <row r="36" spans="1:12" ht="15" customHeight="1">
      <c r="A36" s="34" t="s">
        <v>249</v>
      </c>
      <c r="B36" s="25">
        <v>1000</v>
      </c>
      <c r="C36" s="25">
        <v>2000</v>
      </c>
    </row>
    <row r="37" spans="1:12" ht="13" customHeight="1">
      <c r="A37" s="34"/>
    </row>
    <row r="38" spans="1:12" ht="13" customHeight="1">
      <c r="A38" s="34" t="s">
        <v>159</v>
      </c>
      <c r="B38" s="25">
        <f>23750*1.01</f>
        <v>23987.5</v>
      </c>
      <c r="C38" s="25">
        <f>B38*1.014</f>
        <v>24323.325000000001</v>
      </c>
    </row>
    <row r="39" spans="1:12" ht="13" customHeight="1">
      <c r="A39" s="34" t="s">
        <v>170</v>
      </c>
      <c r="B39" s="25">
        <f>9200*1.01</f>
        <v>9292</v>
      </c>
      <c r="C39" s="25">
        <f t="shared" ref="C39:C42" si="0">B39*1.014</f>
        <v>9422.0879999999997</v>
      </c>
    </row>
    <row r="40" spans="1:12" ht="14" customHeight="1">
      <c r="A40" s="34" t="s">
        <v>88</v>
      </c>
      <c r="B40" s="25">
        <f>41500*1.01</f>
        <v>41915</v>
      </c>
      <c r="C40" s="25">
        <f t="shared" si="0"/>
        <v>42501.81</v>
      </c>
      <c r="G40" s="96"/>
      <c r="H40" s="35"/>
      <c r="I40" s="35"/>
      <c r="J40" s="35"/>
      <c r="K40" s="35"/>
      <c r="L40" s="35"/>
    </row>
    <row r="41" spans="1:12">
      <c r="A41" s="34" t="s">
        <v>166</v>
      </c>
      <c r="B41" s="25">
        <f>14000*1.01</f>
        <v>14140</v>
      </c>
      <c r="C41" s="25">
        <f t="shared" si="0"/>
        <v>14337.960000000001</v>
      </c>
    </row>
    <row r="42" spans="1:12" ht="13" customHeight="1">
      <c r="A42" s="34" t="s">
        <v>247</v>
      </c>
      <c r="B42" s="25">
        <f>11250*1.01</f>
        <v>11362.5</v>
      </c>
      <c r="C42" s="25">
        <f t="shared" si="0"/>
        <v>11521.575000000001</v>
      </c>
    </row>
    <row r="43" spans="1:12" ht="13" customHeight="1">
      <c r="A43" s="34" t="s">
        <v>161</v>
      </c>
      <c r="B43" s="25">
        <v>3800</v>
      </c>
      <c r="C43" s="27">
        <v>4000</v>
      </c>
      <c r="G43" s="36"/>
      <c r="H43" s="35"/>
      <c r="I43" s="35"/>
      <c r="J43" s="35"/>
      <c r="K43" s="35"/>
      <c r="L43" s="35"/>
    </row>
    <row r="44" spans="1:12">
      <c r="A44" s="34" t="s">
        <v>162</v>
      </c>
      <c r="B44" s="25">
        <v>2500</v>
      </c>
      <c r="C44" s="27">
        <v>1500</v>
      </c>
      <c r="G44" s="36"/>
      <c r="H44" s="35"/>
      <c r="I44" s="35"/>
      <c r="J44" s="35"/>
      <c r="K44" s="35"/>
      <c r="L44" s="35"/>
    </row>
    <row r="45" spans="1:12" ht="18" customHeight="1">
      <c r="A45" s="73" t="s">
        <v>37</v>
      </c>
      <c r="B45" s="110">
        <f>SUM(B16:B44)+B18</f>
        <v>380997</v>
      </c>
      <c r="C45" s="194">
        <f>SUM(C16:C44)</f>
        <v>361406.75800000003</v>
      </c>
    </row>
    <row r="47" spans="1:12" ht="15" thickBot="1">
      <c r="A47" s="40" t="s">
        <v>232</v>
      </c>
      <c r="B47" s="152">
        <f>B12-B45</f>
        <v>21453</v>
      </c>
      <c r="C47" s="196">
        <f>C12-C45</f>
        <v>28593.241999999969</v>
      </c>
    </row>
    <row r="48" spans="1:12" ht="15" thickTop="1"/>
  </sheetData>
  <phoneticPr fontId="13" type="noConversion"/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view="pageLayout" topLeftCell="A4" zoomScale="125" zoomScaleNormal="125" zoomScalePageLayoutView="125" workbookViewId="0">
      <selection activeCell="D10" sqref="D10"/>
    </sheetView>
  </sheetViews>
  <sheetFormatPr baseColWidth="10" defaultColWidth="10.83203125" defaultRowHeight="14" x14ac:dyDescent="0"/>
  <cols>
    <col min="1" max="1" width="36" style="52" customWidth="1"/>
    <col min="2" max="2" width="16.33203125" style="52" customWidth="1"/>
    <col min="3" max="3" width="16.33203125" style="25" customWidth="1"/>
    <col min="4" max="7" width="10.83203125" style="52"/>
    <col min="8" max="8" width="26.83203125" style="52" customWidth="1"/>
    <col min="9" max="16384" width="10.83203125" style="52"/>
  </cols>
  <sheetData>
    <row r="1" spans="1:11" ht="24">
      <c r="A1" s="51" t="s">
        <v>243</v>
      </c>
      <c r="D1" s="141"/>
    </row>
    <row r="2" spans="1:11" ht="24">
      <c r="A2" s="142" t="s">
        <v>31</v>
      </c>
      <c r="D2" s="141"/>
    </row>
    <row r="3" spans="1:11">
      <c r="A3" s="143"/>
      <c r="B3" s="29" t="s">
        <v>17</v>
      </c>
      <c r="C3" s="213" t="s">
        <v>17</v>
      </c>
    </row>
    <row r="4" spans="1:11">
      <c r="A4" s="219" t="s">
        <v>19</v>
      </c>
      <c r="B4" s="33" t="s">
        <v>20</v>
      </c>
      <c r="C4" s="214" t="s">
        <v>234</v>
      </c>
    </row>
    <row r="5" spans="1:11">
      <c r="A5" s="53" t="s">
        <v>142</v>
      </c>
      <c r="B5" s="25">
        <v>40000</v>
      </c>
      <c r="C5" s="141">
        <v>35000</v>
      </c>
    </row>
    <row r="6" spans="1:11">
      <c r="A6" s="53" t="s">
        <v>172</v>
      </c>
      <c r="B6" s="25">
        <v>5000</v>
      </c>
      <c r="C6" s="141">
        <v>5000</v>
      </c>
      <c r="D6" s="53"/>
      <c r="G6" s="146"/>
      <c r="H6" s="146"/>
      <c r="I6" s="146"/>
      <c r="J6" s="146"/>
      <c r="K6" s="146"/>
    </row>
    <row r="7" spans="1:11">
      <c r="A7" s="53" t="s">
        <v>173</v>
      </c>
      <c r="B7" s="25">
        <v>1000</v>
      </c>
      <c r="C7" s="141">
        <v>1000</v>
      </c>
      <c r="D7" s="147"/>
      <c r="G7" s="146"/>
      <c r="H7" s="146"/>
      <c r="I7" s="146"/>
      <c r="J7" s="146"/>
      <c r="K7" s="146"/>
    </row>
    <row r="8" spans="1:11">
      <c r="A8" s="218" t="s">
        <v>34</v>
      </c>
      <c r="B8" s="110">
        <f>SUM(B5:B7)</f>
        <v>46000</v>
      </c>
      <c r="C8" s="222">
        <f>SUM(C5:C7)</f>
        <v>41000</v>
      </c>
    </row>
    <row r="9" spans="1:11">
      <c r="B9" s="25"/>
      <c r="C9" s="141"/>
    </row>
    <row r="10" spans="1:11">
      <c r="A10" s="146"/>
      <c r="B10" s="61"/>
      <c r="C10" s="148"/>
      <c r="D10" s="149"/>
      <c r="G10" s="146"/>
      <c r="H10" s="146"/>
      <c r="I10" s="146"/>
      <c r="J10" s="146"/>
      <c r="K10" s="146"/>
    </row>
    <row r="11" spans="1:11">
      <c r="A11" s="220" t="s">
        <v>35</v>
      </c>
      <c r="B11" s="83"/>
      <c r="C11" s="221"/>
      <c r="D11" s="149"/>
      <c r="G11" s="146"/>
      <c r="H11" s="146"/>
      <c r="I11" s="146"/>
      <c r="J11" s="146"/>
      <c r="K11" s="146"/>
    </row>
    <row r="12" spans="1:11">
      <c r="A12" s="53" t="s">
        <v>161</v>
      </c>
      <c r="B12" s="25">
        <v>2900</v>
      </c>
      <c r="C12" s="141">
        <v>2900</v>
      </c>
      <c r="D12" s="149"/>
      <c r="G12" s="146"/>
      <c r="H12" s="146"/>
      <c r="I12" s="146"/>
      <c r="J12" s="146"/>
      <c r="K12" s="146"/>
    </row>
    <row r="13" spans="1:11">
      <c r="A13" s="53" t="s">
        <v>174</v>
      </c>
      <c r="B13" s="25">
        <v>500</v>
      </c>
      <c r="C13" s="141">
        <v>500</v>
      </c>
      <c r="D13" s="149"/>
      <c r="G13" s="146"/>
      <c r="H13" s="146"/>
      <c r="I13" s="146"/>
      <c r="J13" s="146"/>
      <c r="K13" s="146"/>
    </row>
    <row r="14" spans="1:11">
      <c r="A14" s="53" t="s">
        <v>175</v>
      </c>
      <c r="B14" s="25">
        <v>55495</v>
      </c>
      <c r="C14" s="141">
        <v>60500</v>
      </c>
      <c r="D14" s="149"/>
      <c r="G14" s="146"/>
      <c r="H14" s="146"/>
      <c r="I14" s="146"/>
      <c r="J14" s="146"/>
      <c r="K14" s="146"/>
    </row>
    <row r="15" spans="1:11">
      <c r="A15" s="53" t="s">
        <v>176</v>
      </c>
      <c r="B15" s="25">
        <v>600</v>
      </c>
      <c r="C15" s="141">
        <v>800</v>
      </c>
      <c r="D15" s="149"/>
      <c r="G15" s="146"/>
      <c r="H15" s="146"/>
      <c r="I15" s="146"/>
      <c r="J15" s="146"/>
      <c r="K15" s="146"/>
    </row>
    <row r="16" spans="1:11">
      <c r="A16" s="53" t="s">
        <v>177</v>
      </c>
      <c r="B16" s="25">
        <v>300</v>
      </c>
      <c r="C16" s="141">
        <v>300</v>
      </c>
      <c r="D16" s="149"/>
      <c r="G16" s="146"/>
      <c r="H16" s="146"/>
      <c r="I16" s="146"/>
      <c r="J16" s="146"/>
      <c r="K16" s="146"/>
    </row>
    <row r="17" spans="1:12">
      <c r="A17" s="149" t="s">
        <v>178</v>
      </c>
      <c r="B17" s="25">
        <v>200</v>
      </c>
      <c r="C17" s="141">
        <v>0</v>
      </c>
      <c r="D17" s="149"/>
      <c r="G17" s="146"/>
      <c r="H17" s="146"/>
      <c r="I17" s="146"/>
      <c r="J17" s="146"/>
      <c r="K17" s="146"/>
    </row>
    <row r="18" spans="1:12">
      <c r="A18" s="53" t="s">
        <v>179</v>
      </c>
      <c r="B18" s="25">
        <v>300</v>
      </c>
      <c r="C18" s="141">
        <v>300</v>
      </c>
      <c r="D18" s="149"/>
      <c r="G18" s="146"/>
      <c r="H18" s="146"/>
      <c r="I18" s="146"/>
      <c r="J18" s="146"/>
      <c r="K18" s="146"/>
    </row>
    <row r="19" spans="1:12">
      <c r="A19" s="216" t="s">
        <v>37</v>
      </c>
      <c r="B19" s="110">
        <f>SUM(B12:B18)</f>
        <v>60295</v>
      </c>
      <c r="C19" s="222">
        <f>SUM(C12:C18)</f>
        <v>65300</v>
      </c>
      <c r="D19" s="149"/>
      <c r="G19" s="146"/>
      <c r="H19" s="146"/>
      <c r="I19" s="146"/>
      <c r="J19" s="146"/>
      <c r="K19" s="146"/>
    </row>
    <row r="20" spans="1:12">
      <c r="A20" s="151"/>
      <c r="B20" s="41"/>
      <c r="C20" s="223"/>
      <c r="D20" s="149"/>
      <c r="G20" s="146"/>
      <c r="H20" s="146"/>
      <c r="I20" s="146"/>
      <c r="J20" s="146"/>
      <c r="K20" s="146"/>
    </row>
    <row r="21" spans="1:12" ht="15" thickBot="1">
      <c r="A21" s="217" t="s">
        <v>233</v>
      </c>
      <c r="B21" s="152">
        <f>B8-B19</f>
        <v>-14295</v>
      </c>
      <c r="C21" s="224">
        <f>C8-C19</f>
        <v>-24300</v>
      </c>
      <c r="D21" s="149"/>
      <c r="G21" s="146"/>
      <c r="H21" s="146"/>
      <c r="I21" s="146"/>
      <c r="J21" s="146"/>
      <c r="K21" s="146"/>
    </row>
    <row r="22" spans="1:12" ht="15" thickTop="1">
      <c r="E22" s="149"/>
      <c r="H22" s="146"/>
      <c r="I22" s="146"/>
      <c r="J22" s="146"/>
      <c r="K22" s="146"/>
      <c r="L22" s="146"/>
    </row>
    <row r="23" spans="1:12">
      <c r="E23" s="149"/>
      <c r="H23" s="146"/>
      <c r="I23" s="146"/>
      <c r="J23" s="146"/>
      <c r="K23" s="146"/>
      <c r="L23" s="146"/>
    </row>
    <row r="24" spans="1:12">
      <c r="E24" s="153"/>
      <c r="H24" s="146"/>
      <c r="I24" s="146"/>
      <c r="J24" s="146"/>
      <c r="K24" s="146"/>
      <c r="L24" s="146"/>
    </row>
  </sheetData>
  <phoneticPr fontId="13" type="noConversion"/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3"/>
  <sheetViews>
    <sheetView view="pageLayout" workbookViewId="0">
      <selection activeCell="B7" sqref="B7"/>
    </sheetView>
  </sheetViews>
  <sheetFormatPr baseColWidth="10" defaultColWidth="10.83203125" defaultRowHeight="14" x14ac:dyDescent="0"/>
  <cols>
    <col min="1" max="1" width="36.1640625" style="52" customWidth="1"/>
    <col min="2" max="2" width="16.33203125" style="52" customWidth="1"/>
    <col min="3" max="3" width="16.1640625" style="52" customWidth="1"/>
    <col min="4" max="16384" width="10.83203125" style="52"/>
  </cols>
  <sheetData>
    <row r="1" spans="1:11" ht="24">
      <c r="A1" s="51" t="s">
        <v>243</v>
      </c>
    </row>
    <row r="2" spans="1:11" ht="24">
      <c r="A2" s="142" t="s">
        <v>33</v>
      </c>
      <c r="D2" s="141"/>
    </row>
    <row r="3" spans="1:11">
      <c r="A3" s="154"/>
      <c r="B3" s="155" t="s">
        <v>17</v>
      </c>
      <c r="C3" s="155" t="s">
        <v>17</v>
      </c>
    </row>
    <row r="4" spans="1:11">
      <c r="A4" s="144" t="s">
        <v>19</v>
      </c>
      <c r="B4" s="156" t="s">
        <v>20</v>
      </c>
      <c r="C4" s="156" t="s">
        <v>234</v>
      </c>
    </row>
    <row r="5" spans="1:11">
      <c r="A5" s="53" t="s">
        <v>146</v>
      </c>
      <c r="B5" s="52">
        <v>1000</v>
      </c>
      <c r="C5" s="52">
        <v>500</v>
      </c>
      <c r="F5" s="53"/>
      <c r="G5" s="146"/>
      <c r="H5" s="146"/>
      <c r="I5" s="146"/>
      <c r="J5" s="146"/>
      <c r="K5" s="146"/>
    </row>
    <row r="6" spans="1:11">
      <c r="A6" s="53" t="s">
        <v>180</v>
      </c>
      <c r="B6" s="157">
        <v>1500</v>
      </c>
      <c r="C6" s="157">
        <v>500</v>
      </c>
      <c r="F6" s="147"/>
      <c r="G6" s="146"/>
      <c r="H6" s="146"/>
      <c r="I6" s="146"/>
      <c r="J6" s="146"/>
      <c r="K6" s="146"/>
    </row>
    <row r="7" spans="1:11">
      <c r="A7" s="225" t="s">
        <v>34</v>
      </c>
      <c r="B7" s="158">
        <f>SUM(B5:B6)</f>
        <v>2500</v>
      </c>
      <c r="C7" s="158">
        <f>SUM(C5:C6)</f>
        <v>1000</v>
      </c>
      <c r="F7" s="53"/>
      <c r="G7" s="146"/>
      <c r="H7" s="146"/>
      <c r="I7" s="146"/>
      <c r="J7" s="146"/>
      <c r="K7" s="146"/>
    </row>
    <row r="8" spans="1:11">
      <c r="C8" s="141"/>
    </row>
    <row r="9" spans="1:11">
      <c r="C9" s="141"/>
    </row>
    <row r="10" spans="1:11">
      <c r="A10" s="146"/>
      <c r="B10" s="148"/>
      <c r="C10" s="148"/>
      <c r="F10" s="149"/>
      <c r="G10" s="146"/>
      <c r="H10" s="146"/>
      <c r="I10" s="146"/>
      <c r="J10" s="146"/>
      <c r="K10" s="146"/>
    </row>
    <row r="11" spans="1:11">
      <c r="A11" s="159" t="s">
        <v>35</v>
      </c>
      <c r="B11" s="160"/>
      <c r="C11" s="160"/>
      <c r="F11" s="149"/>
      <c r="G11" s="146"/>
      <c r="H11" s="146"/>
      <c r="I11" s="146"/>
      <c r="J11" s="146"/>
      <c r="K11" s="146"/>
    </row>
    <row r="12" spans="1:11" ht="15" customHeight="1">
      <c r="A12" s="53" t="s">
        <v>146</v>
      </c>
      <c r="B12" s="52">
        <f>2000+500</f>
        <v>2500</v>
      </c>
      <c r="C12" s="52">
        <v>3500</v>
      </c>
      <c r="F12" s="149"/>
      <c r="G12" s="146"/>
      <c r="H12" s="146"/>
      <c r="I12" s="146"/>
      <c r="J12" s="146"/>
      <c r="K12" s="146"/>
    </row>
    <row r="13" spans="1:11">
      <c r="A13" s="53" t="s">
        <v>181</v>
      </c>
      <c r="B13" s="161">
        <v>1300</v>
      </c>
      <c r="C13" s="161">
        <v>1300</v>
      </c>
      <c r="F13" s="149"/>
      <c r="G13" s="146"/>
      <c r="H13" s="146"/>
      <c r="I13" s="146"/>
      <c r="J13" s="146"/>
      <c r="K13" s="146"/>
    </row>
    <row r="14" spans="1:11">
      <c r="A14" s="53" t="s">
        <v>182</v>
      </c>
      <c r="B14" s="52">
        <v>750</v>
      </c>
      <c r="C14" s="52">
        <v>750</v>
      </c>
      <c r="F14" s="149"/>
      <c r="G14" s="146"/>
      <c r="H14" s="146"/>
      <c r="I14" s="146"/>
      <c r="J14" s="146"/>
      <c r="K14" s="146"/>
    </row>
    <row r="15" spans="1:11">
      <c r="A15" s="149" t="s">
        <v>66</v>
      </c>
      <c r="B15" s="157">
        <f>'Honorarium Breakdown'!B62</f>
        <v>6880</v>
      </c>
      <c r="C15" s="157">
        <f>'Honorarium Breakdown'!C62</f>
        <v>6880</v>
      </c>
      <c r="G15" s="146"/>
      <c r="H15" s="146"/>
      <c r="I15" s="146"/>
      <c r="J15" s="146"/>
      <c r="K15" s="146"/>
    </row>
    <row r="16" spans="1:11" ht="17" customHeight="1">
      <c r="A16" s="218" t="s">
        <v>37</v>
      </c>
      <c r="B16" s="162">
        <f>SUM(B12:B15)</f>
        <v>11430</v>
      </c>
      <c r="C16" s="162">
        <f>SUM(C12:C15)</f>
        <v>12430</v>
      </c>
      <c r="G16" s="146"/>
      <c r="H16" s="146"/>
      <c r="I16" s="146"/>
      <c r="J16" s="146"/>
      <c r="K16" s="146"/>
    </row>
    <row r="17" spans="1:12">
      <c r="A17" s="53"/>
      <c r="C17" s="141"/>
      <c r="F17" s="149"/>
      <c r="G17" s="146"/>
      <c r="H17" s="146"/>
      <c r="I17" s="146"/>
      <c r="J17" s="146"/>
      <c r="K17" s="146"/>
    </row>
    <row r="18" spans="1:12" ht="15" thickBot="1">
      <c r="A18" s="226" t="s">
        <v>232</v>
      </c>
      <c r="B18" s="227">
        <f>(B7-B16)</f>
        <v>-8930</v>
      </c>
      <c r="C18" s="227">
        <f>(C7-C16)</f>
        <v>-11430</v>
      </c>
      <c r="F18" s="149"/>
      <c r="G18" s="146"/>
      <c r="H18" s="146"/>
      <c r="I18" s="146"/>
      <c r="J18" s="146"/>
      <c r="K18" s="146"/>
    </row>
    <row r="19" spans="1:12" ht="15" thickTop="1">
      <c r="A19" s="53"/>
      <c r="B19" s="145"/>
      <c r="G19" s="149"/>
      <c r="H19" s="146"/>
      <c r="I19" s="146"/>
      <c r="J19" s="146"/>
      <c r="K19" s="146"/>
      <c r="L19" s="146"/>
    </row>
    <row r="20" spans="1:12">
      <c r="G20" s="149"/>
      <c r="H20" s="146"/>
      <c r="I20" s="146"/>
      <c r="J20" s="146"/>
      <c r="K20" s="146"/>
      <c r="L20" s="146"/>
    </row>
    <row r="21" spans="1:12">
      <c r="G21" s="149"/>
      <c r="H21" s="146"/>
      <c r="I21" s="146"/>
      <c r="J21" s="146"/>
      <c r="K21" s="146"/>
      <c r="L21" s="146"/>
    </row>
    <row r="22" spans="1:12">
      <c r="G22" s="149"/>
      <c r="H22" s="146"/>
      <c r="I22" s="146"/>
      <c r="J22" s="146"/>
      <c r="K22" s="146"/>
      <c r="L22" s="146"/>
    </row>
    <row r="23" spans="1:12">
      <c r="C23" s="146"/>
      <c r="G23" s="153"/>
      <c r="H23" s="146"/>
      <c r="I23" s="146"/>
      <c r="J23" s="146"/>
      <c r="K23" s="146"/>
      <c r="L23" s="146"/>
    </row>
  </sheetData>
  <phoneticPr fontId="13" type="noConversion"/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5"/>
  <sheetViews>
    <sheetView view="pageLayout" workbookViewId="0">
      <selection activeCell="B7" sqref="B7"/>
    </sheetView>
  </sheetViews>
  <sheetFormatPr baseColWidth="10" defaultColWidth="10.83203125" defaultRowHeight="14" x14ac:dyDescent="0"/>
  <cols>
    <col min="1" max="1" width="35.83203125" style="25" customWidth="1"/>
    <col min="2" max="3" width="16.5" style="25" customWidth="1"/>
    <col min="4" max="16384" width="10.83203125" style="25"/>
  </cols>
  <sheetData>
    <row r="1" spans="1:11" ht="24">
      <c r="A1" s="24" t="s">
        <v>243</v>
      </c>
      <c r="D1" s="27"/>
    </row>
    <row r="2" spans="1:11" ht="24">
      <c r="A2" s="26" t="s">
        <v>183</v>
      </c>
      <c r="D2" s="27"/>
    </row>
    <row r="3" spans="1:11">
      <c r="A3" s="135"/>
      <c r="B3" s="29" t="s">
        <v>17</v>
      </c>
      <c r="C3" s="29" t="s">
        <v>17</v>
      </c>
    </row>
    <row r="4" spans="1:11">
      <c r="A4" s="32" t="s">
        <v>19</v>
      </c>
      <c r="B4" s="33" t="s">
        <v>20</v>
      </c>
      <c r="C4" s="33" t="s">
        <v>234</v>
      </c>
    </row>
    <row r="5" spans="1:11">
      <c r="A5" s="34" t="s">
        <v>284</v>
      </c>
      <c r="B5" s="25">
        <v>3000</v>
      </c>
      <c r="C5" s="25">
        <v>0</v>
      </c>
    </row>
    <row r="6" spans="1:11">
      <c r="A6" s="34" t="s">
        <v>184</v>
      </c>
      <c r="B6" s="25">
        <v>8000</v>
      </c>
      <c r="C6" s="25">
        <v>0</v>
      </c>
    </row>
    <row r="7" spans="1:11">
      <c r="A7" s="34" t="s">
        <v>285</v>
      </c>
      <c r="B7" s="25">
        <v>0</v>
      </c>
      <c r="C7" s="25">
        <v>9000</v>
      </c>
      <c r="G7" s="34"/>
      <c r="H7" s="35"/>
      <c r="I7" s="35"/>
      <c r="J7" s="35"/>
      <c r="K7" s="35"/>
    </row>
    <row r="8" spans="1:11">
      <c r="A8" s="34" t="s">
        <v>185</v>
      </c>
      <c r="B8" s="39">
        <v>500</v>
      </c>
      <c r="C8" s="39">
        <v>2000</v>
      </c>
      <c r="G8" s="138"/>
      <c r="H8" s="35"/>
      <c r="I8" s="35"/>
      <c r="J8" s="35"/>
      <c r="K8" s="35"/>
    </row>
    <row r="9" spans="1:11">
      <c r="A9" s="73" t="s">
        <v>149</v>
      </c>
      <c r="B9" s="134">
        <f>SUM(B5:B8)</f>
        <v>11500</v>
      </c>
      <c r="C9" s="134">
        <f>SUM(C5:C8)</f>
        <v>11000</v>
      </c>
      <c r="G9" s="34"/>
      <c r="H9" s="35"/>
      <c r="I9" s="35"/>
      <c r="J9" s="35"/>
      <c r="K9" s="35"/>
    </row>
    <row r="11" spans="1:11">
      <c r="A11" s="35"/>
      <c r="B11" s="61"/>
      <c r="C11" s="61"/>
    </row>
    <row r="12" spans="1:11">
      <c r="A12" s="43" t="s">
        <v>35</v>
      </c>
      <c r="B12" s="44"/>
      <c r="C12" s="44"/>
      <c r="G12" s="36"/>
      <c r="H12" s="35"/>
      <c r="I12" s="35"/>
      <c r="J12" s="35"/>
      <c r="K12" s="35"/>
    </row>
    <row r="13" spans="1:11">
      <c r="A13" s="25" t="s">
        <v>146</v>
      </c>
      <c r="B13" s="25">
        <f>2500+400+150+500</f>
        <v>3550</v>
      </c>
      <c r="C13" s="25">
        <f>2500+400+150+500+1000</f>
        <v>4550</v>
      </c>
      <c r="G13" s="36"/>
      <c r="H13" s="35"/>
      <c r="I13" s="35"/>
      <c r="J13" s="35"/>
      <c r="K13" s="35"/>
    </row>
    <row r="14" spans="1:11">
      <c r="A14" s="34" t="s">
        <v>142</v>
      </c>
      <c r="B14" s="25">
        <v>1500</v>
      </c>
      <c r="C14" s="25">
        <v>1500</v>
      </c>
      <c r="G14" s="36"/>
      <c r="H14" s="35"/>
      <c r="I14" s="35"/>
      <c r="J14" s="35"/>
      <c r="K14" s="35"/>
    </row>
    <row r="15" spans="1:11">
      <c r="A15" s="34" t="s">
        <v>181</v>
      </c>
      <c r="B15" s="25">
        <v>200</v>
      </c>
      <c r="C15" s="25">
        <v>200</v>
      </c>
      <c r="G15" s="36"/>
      <c r="H15" s="35"/>
      <c r="I15" s="35"/>
      <c r="J15" s="35"/>
      <c r="K15" s="35"/>
    </row>
    <row r="16" spans="1:11">
      <c r="A16" s="34" t="s">
        <v>287</v>
      </c>
      <c r="B16" s="25">
        <v>0</v>
      </c>
      <c r="C16" s="25">
        <v>400</v>
      </c>
      <c r="G16" s="36"/>
      <c r="H16" s="35"/>
      <c r="I16" s="35"/>
      <c r="J16" s="35"/>
      <c r="K16" s="35"/>
    </row>
    <row r="17" spans="1:13">
      <c r="A17" s="34" t="s">
        <v>73</v>
      </c>
      <c r="B17" s="25">
        <f>13692</f>
        <v>13692</v>
      </c>
      <c r="C17" s="25">
        <f>13692*1.02</f>
        <v>13965.84</v>
      </c>
      <c r="G17" s="36"/>
      <c r="H17" s="35"/>
      <c r="I17" s="35"/>
      <c r="J17" s="35"/>
      <c r="K17" s="35"/>
    </row>
    <row r="18" spans="1:13">
      <c r="A18" s="36" t="s">
        <v>66</v>
      </c>
      <c r="B18" s="25">
        <f>'Honorarium Breakdown'!B67</f>
        <v>10095</v>
      </c>
      <c r="C18" s="45">
        <f>'Honorarium Breakdown'!C67</f>
        <v>12500</v>
      </c>
      <c r="G18" s="36"/>
      <c r="H18" s="35"/>
      <c r="I18" s="35"/>
      <c r="J18" s="35"/>
      <c r="K18" s="35"/>
    </row>
    <row r="19" spans="1:13">
      <c r="A19" s="73" t="s">
        <v>144</v>
      </c>
      <c r="B19" s="110">
        <f>SUM(B13:B18)</f>
        <v>29037</v>
      </c>
      <c r="C19" s="110">
        <f>SUM(C13:C18)</f>
        <v>33115.839999999997</v>
      </c>
      <c r="G19" s="36"/>
      <c r="H19" s="35"/>
      <c r="I19" s="35"/>
      <c r="J19" s="35"/>
      <c r="K19" s="35"/>
    </row>
    <row r="20" spans="1:13">
      <c r="D20" s="27"/>
      <c r="H20" s="35"/>
      <c r="I20" s="35"/>
      <c r="J20" s="35"/>
      <c r="K20" s="35"/>
      <c r="L20" s="35"/>
    </row>
    <row r="21" spans="1:13" ht="15" thickBot="1">
      <c r="A21" s="207" t="s">
        <v>233</v>
      </c>
      <c r="B21" s="196">
        <f>B9-B19</f>
        <v>-17537</v>
      </c>
      <c r="C21" s="196">
        <f>C9-C19</f>
        <v>-22115.839999999997</v>
      </c>
      <c r="G21" s="36"/>
      <c r="H21" s="35"/>
      <c r="I21" s="35"/>
      <c r="J21" s="35"/>
      <c r="K21" s="35"/>
    </row>
    <row r="22" spans="1:13" ht="15" thickTop="1">
      <c r="A22" s="34"/>
      <c r="B22" s="34"/>
      <c r="C22" s="109"/>
      <c r="D22" s="57"/>
      <c r="E22" s="35"/>
      <c r="H22" s="36"/>
      <c r="I22" s="35"/>
      <c r="J22" s="35"/>
      <c r="K22" s="35"/>
      <c r="L22" s="35"/>
      <c r="M22" s="35"/>
    </row>
    <row r="23" spans="1:13">
      <c r="A23" s="34"/>
      <c r="B23" s="34"/>
      <c r="C23" s="85"/>
      <c r="D23" s="57"/>
      <c r="E23" s="35"/>
      <c r="H23" s="96"/>
      <c r="I23" s="35"/>
      <c r="J23" s="35"/>
      <c r="K23" s="35"/>
      <c r="L23" s="35"/>
      <c r="M23" s="35"/>
    </row>
    <row r="24" spans="1:13">
      <c r="E24" s="35"/>
    </row>
    <row r="25" spans="1:13">
      <c r="E25" s="35"/>
    </row>
  </sheetData>
  <phoneticPr fontId="13" type="noConversion"/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1"/>
  <sheetViews>
    <sheetView view="pageLayout" topLeftCell="A18" zoomScale="150" zoomScaleNormal="150" zoomScalePageLayoutView="150" workbookViewId="0">
      <selection activeCell="E18" sqref="E18"/>
    </sheetView>
  </sheetViews>
  <sheetFormatPr baseColWidth="10" defaultColWidth="10.83203125" defaultRowHeight="14" x14ac:dyDescent="0"/>
  <cols>
    <col min="1" max="1" width="36.5" style="25" customWidth="1"/>
    <col min="2" max="3" width="13.83203125" style="25" customWidth="1"/>
    <col min="4" max="16384" width="10.83203125" style="25"/>
  </cols>
  <sheetData>
    <row r="1" spans="1:6" ht="24">
      <c r="A1" s="24" t="s">
        <v>243</v>
      </c>
    </row>
    <row r="2" spans="1:6" ht="24">
      <c r="A2" s="24" t="s">
        <v>186</v>
      </c>
    </row>
    <row r="3" spans="1:6">
      <c r="E3" s="246" t="s">
        <v>260</v>
      </c>
      <c r="F3" s="243"/>
    </row>
    <row r="4" spans="1:6">
      <c r="A4" s="164"/>
      <c r="B4" s="29" t="s">
        <v>17</v>
      </c>
      <c r="C4" s="29" t="s">
        <v>17</v>
      </c>
      <c r="E4" s="243" t="s">
        <v>256</v>
      </c>
      <c r="F4" s="243"/>
    </row>
    <row r="5" spans="1:6">
      <c r="A5" s="43" t="s">
        <v>187</v>
      </c>
      <c r="B5" s="33" t="s">
        <v>20</v>
      </c>
      <c r="C5" s="33" t="s">
        <v>234</v>
      </c>
      <c r="E5" s="243" t="s">
        <v>257</v>
      </c>
      <c r="F5" s="243"/>
    </row>
    <row r="6" spans="1:6">
      <c r="A6" s="36" t="s">
        <v>254</v>
      </c>
      <c r="B6" s="25">
        <v>2833</v>
      </c>
      <c r="C6" s="25">
        <v>2832.5</v>
      </c>
      <c r="E6" s="243" t="s">
        <v>258</v>
      </c>
      <c r="F6" s="243"/>
    </row>
    <row r="7" spans="1:6">
      <c r="A7" s="237" t="s">
        <v>255</v>
      </c>
      <c r="B7" s="25">
        <v>0</v>
      </c>
      <c r="C7" s="25">
        <v>515</v>
      </c>
      <c r="E7" s="243" t="s">
        <v>259</v>
      </c>
      <c r="F7" s="243"/>
    </row>
    <row r="8" spans="1:6">
      <c r="A8" s="36" t="s">
        <v>188</v>
      </c>
      <c r="B8" s="25">
        <v>4650</v>
      </c>
      <c r="C8" s="45">
        <v>9270</v>
      </c>
    </row>
    <row r="9" spans="1:6">
      <c r="A9" s="36" t="s">
        <v>189</v>
      </c>
      <c r="B9" s="25">
        <v>515</v>
      </c>
      <c r="C9" s="25">
        <v>515</v>
      </c>
    </row>
    <row r="10" spans="1:6">
      <c r="A10" s="36" t="s">
        <v>190</v>
      </c>
      <c r="B10" s="25">
        <v>257.5</v>
      </c>
      <c r="C10" s="25">
        <v>257.5</v>
      </c>
    </row>
    <row r="11" spans="1:6">
      <c r="A11" s="36" t="s">
        <v>191</v>
      </c>
      <c r="B11" s="25">
        <v>515</v>
      </c>
      <c r="C11" s="25">
        <v>515</v>
      </c>
    </row>
    <row r="12" spans="1:6">
      <c r="A12" s="48" t="s">
        <v>192</v>
      </c>
      <c r="B12" s="209">
        <f>SUM(B6:B11)</f>
        <v>8770.5</v>
      </c>
      <c r="C12" s="238">
        <f>SUM(C6:C11)</f>
        <v>13905</v>
      </c>
    </row>
    <row r="14" spans="1:6">
      <c r="A14" s="43" t="s">
        <v>23</v>
      </c>
      <c r="B14" s="165"/>
      <c r="C14" s="165"/>
    </row>
    <row r="15" spans="1:6">
      <c r="A15" s="36" t="s">
        <v>193</v>
      </c>
      <c r="B15" s="25">
        <v>10285</v>
      </c>
      <c r="C15" s="25">
        <v>10285</v>
      </c>
    </row>
    <row r="16" spans="1:6">
      <c r="A16" s="36" t="s">
        <v>194</v>
      </c>
      <c r="B16" s="25">
        <v>10285</v>
      </c>
      <c r="C16" s="25">
        <v>10285</v>
      </c>
    </row>
    <row r="17" spans="1:6">
      <c r="A17" s="36" t="s">
        <v>195</v>
      </c>
      <c r="B17" s="25">
        <v>9270</v>
      </c>
      <c r="C17" s="25">
        <v>9270</v>
      </c>
    </row>
    <row r="18" spans="1:6">
      <c r="A18" s="36" t="s">
        <v>196</v>
      </c>
      <c r="B18" s="25">
        <v>9270</v>
      </c>
      <c r="C18" s="25">
        <v>9270</v>
      </c>
    </row>
    <row r="19" spans="1:6">
      <c r="A19" s="36" t="s">
        <v>269</v>
      </c>
      <c r="B19" s="25">
        <v>9270</v>
      </c>
      <c r="C19" s="25">
        <v>9270</v>
      </c>
    </row>
    <row r="20" spans="1:6">
      <c r="A20" s="36" t="s">
        <v>270</v>
      </c>
      <c r="B20" s="39">
        <v>9270</v>
      </c>
      <c r="C20" s="39">
        <v>9270</v>
      </c>
    </row>
    <row r="21" spans="1:6">
      <c r="A21" s="48" t="s">
        <v>197</v>
      </c>
      <c r="B21" s="49">
        <f>SUM(B15:B20)</f>
        <v>57650</v>
      </c>
      <c r="C21" s="49">
        <f>SUM(C15:C20)</f>
        <v>57650</v>
      </c>
    </row>
    <row r="22" spans="1:6">
      <c r="A22" s="166"/>
    </row>
    <row r="23" spans="1:6" ht="6" customHeight="1"/>
    <row r="24" spans="1:6" ht="17">
      <c r="A24" s="167" t="s">
        <v>198</v>
      </c>
    </row>
    <row r="25" spans="1:6">
      <c r="A25" s="43" t="s">
        <v>199</v>
      </c>
      <c r="B25" s="168"/>
      <c r="C25" s="168"/>
    </row>
    <row r="26" spans="1:6">
      <c r="A26" s="36" t="s">
        <v>200</v>
      </c>
      <c r="B26" s="25">
        <v>775</v>
      </c>
      <c r="C26" s="25">
        <v>775</v>
      </c>
      <c r="D26" s="243"/>
      <c r="E26" s="243">
        <f>SUM(E29:E34)</f>
        <v>4590</v>
      </c>
      <c r="F26" s="243" t="s">
        <v>278</v>
      </c>
    </row>
    <row r="27" spans="1:6">
      <c r="A27" s="36" t="s">
        <v>201</v>
      </c>
      <c r="B27" s="39">
        <v>1030</v>
      </c>
      <c r="C27" s="39">
        <v>1030</v>
      </c>
      <c r="D27" s="243"/>
      <c r="E27" s="243">
        <f>E26+C31</f>
        <v>10590</v>
      </c>
      <c r="F27" s="243">
        <f>E27+C33</f>
        <v>17790</v>
      </c>
    </row>
    <row r="28" spans="1:6">
      <c r="A28" s="48" t="s">
        <v>202</v>
      </c>
      <c r="B28" s="49">
        <f>SUM(B26:B27)</f>
        <v>1805</v>
      </c>
      <c r="C28" s="49">
        <f>SUM(C26:C27)</f>
        <v>1805</v>
      </c>
      <c r="D28" s="243"/>
      <c r="E28" s="243"/>
      <c r="F28" s="243"/>
    </row>
    <row r="29" spans="1:6">
      <c r="A29" s="36"/>
      <c r="D29" s="243" t="s">
        <v>276</v>
      </c>
      <c r="E29" s="243">
        <f>2*257.5</f>
        <v>515</v>
      </c>
      <c r="F29" s="243"/>
    </row>
    <row r="30" spans="1:6">
      <c r="A30" s="43" t="s">
        <v>203</v>
      </c>
      <c r="B30" s="168"/>
      <c r="C30" s="168"/>
      <c r="D30" s="243" t="s">
        <v>277</v>
      </c>
      <c r="E30" s="243">
        <v>1500</v>
      </c>
      <c r="F30" s="243"/>
    </row>
    <row r="31" spans="1:6">
      <c r="A31" s="36" t="s">
        <v>204</v>
      </c>
      <c r="B31" s="25">
        <f>1030*2</f>
        <v>2060</v>
      </c>
      <c r="C31" s="25">
        <v>6000</v>
      </c>
      <c r="D31" s="243" t="s">
        <v>272</v>
      </c>
      <c r="E31" s="243">
        <f>1*257.5</f>
        <v>257.5</v>
      </c>
      <c r="F31" s="243"/>
    </row>
    <row r="32" spans="1:6">
      <c r="A32" s="36" t="s">
        <v>205</v>
      </c>
      <c r="B32" s="25">
        <f>515*5</f>
        <v>2575</v>
      </c>
      <c r="C32" s="25">
        <v>4590</v>
      </c>
      <c r="D32" s="243" t="s">
        <v>275</v>
      </c>
      <c r="E32" s="243">
        <f>2*772.5</f>
        <v>1545</v>
      </c>
      <c r="F32" s="243"/>
    </row>
    <row r="33" spans="1:6">
      <c r="A33" s="25" t="s">
        <v>206</v>
      </c>
      <c r="B33" s="25">
        <v>3360</v>
      </c>
      <c r="C33" s="25">
        <v>7200</v>
      </c>
      <c r="D33" s="243" t="s">
        <v>274</v>
      </c>
      <c r="E33" s="243">
        <f>515</f>
        <v>515</v>
      </c>
      <c r="F33" s="243"/>
    </row>
    <row r="34" spans="1:6">
      <c r="A34" s="36" t="s">
        <v>207</v>
      </c>
      <c r="B34" s="39">
        <v>257.5</v>
      </c>
      <c r="C34" s="25">
        <v>0</v>
      </c>
      <c r="D34" s="243" t="s">
        <v>273</v>
      </c>
      <c r="E34" s="243">
        <f>257.5</f>
        <v>257.5</v>
      </c>
      <c r="F34" s="243"/>
    </row>
    <row r="35" spans="1:6">
      <c r="A35" s="49" t="s">
        <v>208</v>
      </c>
      <c r="B35" s="49">
        <f>SUM(B31:B34)</f>
        <v>8252.5</v>
      </c>
      <c r="C35" s="238">
        <f>SUM(C31:C34)</f>
        <v>17790</v>
      </c>
      <c r="D35" s="243"/>
      <c r="E35" s="244">
        <f>SUM(E29:E34)</f>
        <v>4590</v>
      </c>
      <c r="F35" s="243"/>
    </row>
    <row r="36" spans="1:6">
      <c r="D36" s="243"/>
      <c r="E36" s="243"/>
      <c r="F36" s="243"/>
    </row>
    <row r="37" spans="1:6">
      <c r="A37" s="43" t="s">
        <v>209</v>
      </c>
      <c r="B37" s="168"/>
      <c r="C37" s="168"/>
      <c r="D37" s="243"/>
      <c r="E37" s="243"/>
      <c r="F37" s="243"/>
    </row>
    <row r="38" spans="1:6">
      <c r="A38" s="36" t="s">
        <v>261</v>
      </c>
      <c r="B38" s="25">
        <v>9295</v>
      </c>
      <c r="C38" s="25">
        <v>9295</v>
      </c>
      <c r="D38" s="243"/>
      <c r="E38" s="243" t="s">
        <v>262</v>
      </c>
      <c r="F38" s="243"/>
    </row>
    <row r="39" spans="1:6">
      <c r="A39" s="36" t="s">
        <v>265</v>
      </c>
      <c r="B39" s="25">
        <v>6640</v>
      </c>
      <c r="C39" s="25">
        <v>6640</v>
      </c>
      <c r="D39" s="243"/>
      <c r="E39" s="243" t="s">
        <v>263</v>
      </c>
      <c r="F39" s="243"/>
    </row>
    <row r="40" spans="1:6">
      <c r="A40" s="45" t="s">
        <v>210</v>
      </c>
      <c r="B40" s="45">
        <v>715</v>
      </c>
      <c r="C40" s="45">
        <v>715</v>
      </c>
    </row>
    <row r="41" spans="1:6">
      <c r="A41" s="45" t="s">
        <v>211</v>
      </c>
      <c r="B41" s="45">
        <v>415</v>
      </c>
      <c r="C41" s="45">
        <v>415</v>
      </c>
    </row>
    <row r="42" spans="1:6">
      <c r="A42" s="36" t="s">
        <v>264</v>
      </c>
      <c r="B42" s="25">
        <v>1030</v>
      </c>
      <c r="C42" s="25">
        <v>1030</v>
      </c>
    </row>
    <row r="43" spans="1:6">
      <c r="A43" s="36" t="s">
        <v>267</v>
      </c>
      <c r="B43" s="39">
        <f>772.5*4</f>
        <v>3090</v>
      </c>
      <c r="C43" s="39">
        <f>772.5*4</f>
        <v>3090</v>
      </c>
    </row>
    <row r="44" spans="1:6" ht="18" customHeight="1">
      <c r="A44" s="48" t="s">
        <v>212</v>
      </c>
      <c r="B44" s="49">
        <f>SUM(B38:B43)</f>
        <v>21185</v>
      </c>
      <c r="C44" s="49">
        <f>SUM(C38:C43)</f>
        <v>21185</v>
      </c>
    </row>
    <row r="46" spans="1:6" ht="15" customHeight="1">
      <c r="A46" s="43" t="s">
        <v>213</v>
      </c>
      <c r="B46" s="168"/>
      <c r="C46" s="168"/>
    </row>
    <row r="47" spans="1:6" ht="18" customHeight="1">
      <c r="A47" s="25" t="s">
        <v>214</v>
      </c>
      <c r="B47" s="76">
        <v>515</v>
      </c>
      <c r="C47" s="76">
        <v>515</v>
      </c>
    </row>
    <row r="48" spans="1:6" ht="16" customHeight="1">
      <c r="A48" s="49" t="s">
        <v>215</v>
      </c>
      <c r="B48" s="49">
        <f>SUM(B47:B47)</f>
        <v>515</v>
      </c>
      <c r="C48" s="49">
        <f>SUM(C47:C47)</f>
        <v>515</v>
      </c>
    </row>
    <row r="50" spans="1:5">
      <c r="A50" s="43" t="s">
        <v>216</v>
      </c>
      <c r="B50" s="169"/>
      <c r="C50" s="168"/>
    </row>
    <row r="51" spans="1:5">
      <c r="A51" s="36" t="s">
        <v>217</v>
      </c>
      <c r="B51" s="25">
        <v>515</v>
      </c>
      <c r="C51" s="25">
        <v>515</v>
      </c>
    </row>
    <row r="52" spans="1:5">
      <c r="A52" s="239" t="s">
        <v>266</v>
      </c>
      <c r="B52" s="25">
        <v>0</v>
      </c>
      <c r="C52" s="25">
        <v>257.5</v>
      </c>
    </row>
    <row r="53" spans="1:5">
      <c r="A53" s="36" t="s">
        <v>218</v>
      </c>
      <c r="B53" s="25">
        <v>825</v>
      </c>
      <c r="C53" s="45">
        <v>650</v>
      </c>
    </row>
    <row r="54" spans="1:5">
      <c r="A54" s="36" t="s">
        <v>219</v>
      </c>
      <c r="B54" s="39">
        <v>1030</v>
      </c>
      <c r="C54" s="39">
        <v>1030</v>
      </c>
    </row>
    <row r="55" spans="1:5">
      <c r="A55" s="49" t="s">
        <v>220</v>
      </c>
      <c r="B55" s="49">
        <f>SUM(B51:B54)</f>
        <v>2370</v>
      </c>
      <c r="C55" s="49">
        <f>SUM(C51:C54)</f>
        <v>2452.5</v>
      </c>
    </row>
    <row r="56" spans="1:5" ht="48" customHeight="1"/>
    <row r="57" spans="1:5">
      <c r="A57" s="43" t="s">
        <v>33</v>
      </c>
      <c r="B57" s="165"/>
      <c r="C57" s="168"/>
    </row>
    <row r="58" spans="1:5">
      <c r="A58" s="36" t="s">
        <v>221</v>
      </c>
      <c r="B58" s="25">
        <v>2200</v>
      </c>
      <c r="C58" s="45">
        <v>2200</v>
      </c>
      <c r="E58" s="35"/>
    </row>
    <row r="59" spans="1:5">
      <c r="A59" s="36" t="s">
        <v>222</v>
      </c>
      <c r="B59" s="25">
        <v>415</v>
      </c>
      <c r="C59" s="45">
        <v>415</v>
      </c>
    </row>
    <row r="60" spans="1:5">
      <c r="A60" s="36" t="s">
        <v>223</v>
      </c>
      <c r="B60" s="25">
        <v>515</v>
      </c>
      <c r="C60" s="45">
        <v>515</v>
      </c>
    </row>
    <row r="61" spans="1:5">
      <c r="A61" s="36" t="s">
        <v>224</v>
      </c>
      <c r="B61" s="39">
        <v>3750</v>
      </c>
      <c r="C61" s="76">
        <v>3750</v>
      </c>
    </row>
    <row r="62" spans="1:5">
      <c r="A62" s="170" t="s">
        <v>225</v>
      </c>
      <c r="B62" s="49">
        <f>SUM(B58:B61)</f>
        <v>6880</v>
      </c>
      <c r="C62" s="245">
        <f>SUM(C58:C61)</f>
        <v>6880</v>
      </c>
    </row>
    <row r="64" spans="1:5">
      <c r="A64" s="43" t="s">
        <v>32</v>
      </c>
      <c r="B64" s="168"/>
      <c r="C64" s="168"/>
    </row>
    <row r="65" spans="1:3">
      <c r="A65" s="36" t="s">
        <v>226</v>
      </c>
      <c r="B65" s="25">
        <v>3295</v>
      </c>
      <c r="C65" s="45">
        <v>2500</v>
      </c>
    </row>
    <row r="66" spans="1:3">
      <c r="A66" s="36" t="s">
        <v>227</v>
      </c>
      <c r="B66" s="39">
        <v>6800</v>
      </c>
      <c r="C66" s="76">
        <v>10000</v>
      </c>
    </row>
    <row r="67" spans="1:3">
      <c r="A67" s="41" t="s">
        <v>228</v>
      </c>
      <c r="B67" s="110">
        <f>SUM(B65:B66)</f>
        <v>10095</v>
      </c>
      <c r="C67" s="179">
        <f>SUM(C65:C66)</f>
        <v>12500</v>
      </c>
    </row>
    <row r="69" spans="1:3" ht="15" thickBot="1">
      <c r="A69" s="48" t="s">
        <v>229</v>
      </c>
      <c r="B69" s="171">
        <f>B12+B21+B28+B35+B44+B48+B55+B62+B67</f>
        <v>117523</v>
      </c>
      <c r="C69" s="171">
        <f>C12+C21+C28+C35+C44+C48+C55+C62+C67</f>
        <v>134682.5</v>
      </c>
    </row>
    <row r="70" spans="1:3" ht="15" thickTop="1">
      <c r="A70" s="36"/>
      <c r="B70" s="36"/>
    </row>
    <row r="72" spans="1:3">
      <c r="A72" s="36"/>
      <c r="B72" s="36"/>
    </row>
    <row r="73" spans="1:3">
      <c r="A73" s="36"/>
      <c r="B73" s="36"/>
    </row>
    <row r="74" spans="1:3">
      <c r="A74" s="36"/>
      <c r="B74" s="36"/>
    </row>
    <row r="77" spans="1:3">
      <c r="A77" s="36"/>
      <c r="B77" s="36"/>
    </row>
    <row r="78" spans="1:3">
      <c r="A78" s="36"/>
      <c r="B78" s="36"/>
    </row>
    <row r="79" spans="1:3">
      <c r="A79" s="36"/>
      <c r="B79" s="36"/>
    </row>
    <row r="80" spans="1:3">
      <c r="A80" s="36"/>
      <c r="B80" s="36"/>
    </row>
    <row r="81" spans="2:2">
      <c r="B81" s="34"/>
    </row>
  </sheetData>
  <phoneticPr fontId="13" type="noConversion"/>
  <pageMargins left="0.7" right="0.7" top="0.75" bottom="0.75" header="0.3" footer="0.3"/>
  <pageSetup scale="58" orientation="portrait" horizontalDpi="4294967292" verticalDpi="4294967292"/>
  <rowBreaks count="1" manualBreakCount="1">
    <brk id="70" max="16383" man="1"/>
  </rowBreaks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5"/>
  <sheetViews>
    <sheetView view="pageLayout" topLeftCell="A14" zoomScale="125" zoomScaleNormal="125" zoomScalePageLayoutView="125" workbookViewId="0"/>
  </sheetViews>
  <sheetFormatPr baseColWidth="10" defaultColWidth="10.83203125" defaultRowHeight="15" x14ac:dyDescent="0"/>
  <cols>
    <col min="1" max="1" width="7.33203125" style="7" customWidth="1"/>
    <col min="2" max="2" width="40.5" style="7" customWidth="1"/>
    <col min="3" max="3" width="19.5" style="7" customWidth="1"/>
    <col min="4" max="4" width="18.6640625" style="7" customWidth="1"/>
    <col min="5" max="5" width="11.1640625" style="7" bestFit="1" customWidth="1"/>
    <col min="6" max="16384" width="10.83203125" style="7"/>
  </cols>
  <sheetData>
    <row r="1" spans="1:5" ht="24">
      <c r="A1" s="24" t="s">
        <v>243</v>
      </c>
    </row>
    <row r="2" spans="1:5" ht="24">
      <c r="A2" s="5" t="s">
        <v>230</v>
      </c>
    </row>
    <row r="3" spans="1:5" ht="24">
      <c r="A3" s="5"/>
      <c r="C3" s="29" t="s">
        <v>17</v>
      </c>
      <c r="D3" s="29" t="s">
        <v>17</v>
      </c>
    </row>
    <row r="4" spans="1:5" ht="24">
      <c r="A4" s="5"/>
      <c r="C4" s="33" t="s">
        <v>20</v>
      </c>
      <c r="D4" s="33" t="s">
        <v>234</v>
      </c>
    </row>
    <row r="5" spans="1:5">
      <c r="A5" s="8"/>
      <c r="B5" s="8"/>
      <c r="C5" s="9"/>
      <c r="D5" s="10"/>
    </row>
    <row r="6" spans="1:5">
      <c r="A6" s="8"/>
      <c r="B6" s="11"/>
      <c r="C6" s="12">
        <v>150.5</v>
      </c>
      <c r="D6" s="6">
        <v>155.02000000000001</v>
      </c>
    </row>
    <row r="7" spans="1:5">
      <c r="A7" s="8"/>
      <c r="B7" s="11" t="s">
        <v>250</v>
      </c>
      <c r="C7" s="12"/>
      <c r="D7" s="10"/>
    </row>
    <row r="8" spans="1:5">
      <c r="A8" s="10"/>
      <c r="B8" s="13" t="s">
        <v>0</v>
      </c>
      <c r="C8" s="206">
        <v>0.03</v>
      </c>
      <c r="D8" s="206">
        <v>0.03</v>
      </c>
    </row>
    <row r="9" spans="1:5">
      <c r="A9" s="10"/>
      <c r="B9" s="13" t="s">
        <v>1</v>
      </c>
      <c r="C9" s="14">
        <f>C8*C6</f>
        <v>4.5149999999999997</v>
      </c>
      <c r="D9" s="14">
        <f>D6*D8</f>
        <v>4.6505999999999998</v>
      </c>
    </row>
    <row r="10" spans="1:5">
      <c r="A10" s="8"/>
      <c r="B10" s="11" t="s">
        <v>2</v>
      </c>
      <c r="C10" s="12">
        <f>C6+C9</f>
        <v>155.01499999999999</v>
      </c>
      <c r="D10" s="12">
        <f>D6+D9</f>
        <v>159.67060000000001</v>
      </c>
    </row>
    <row r="11" spans="1:5">
      <c r="A11" s="8"/>
      <c r="B11" s="6"/>
      <c r="C11" s="6"/>
      <c r="D11" s="10"/>
    </row>
    <row r="12" spans="1:5">
      <c r="A12" s="8"/>
      <c r="B12" s="6" t="s">
        <v>3</v>
      </c>
      <c r="C12" s="15">
        <v>6</v>
      </c>
      <c r="D12" s="10">
        <v>6</v>
      </c>
    </row>
    <row r="13" spans="1:5">
      <c r="A13" s="8"/>
      <c r="B13" s="247" t="s">
        <v>245</v>
      </c>
      <c r="C13" s="248">
        <v>25</v>
      </c>
      <c r="D13" s="10">
        <v>0</v>
      </c>
    </row>
    <row r="14" spans="1:5">
      <c r="A14" s="8"/>
      <c r="B14" s="16" t="s">
        <v>4</v>
      </c>
      <c r="C14" s="17">
        <f>SUM(C12:C13)+C10</f>
        <v>186.01499999999999</v>
      </c>
      <c r="D14" s="17">
        <f>SUM(D12:D13)+D10</f>
        <v>165.67060000000001</v>
      </c>
    </row>
    <row r="15" spans="1:5">
      <c r="A15" s="8"/>
      <c r="B15" s="6"/>
      <c r="C15" s="6"/>
      <c r="D15" s="10"/>
    </row>
    <row r="16" spans="1:5">
      <c r="A16" s="8"/>
      <c r="B16" s="3" t="s">
        <v>253</v>
      </c>
      <c r="C16" s="229">
        <f>4200+125</f>
        <v>4325</v>
      </c>
      <c r="D16" s="228">
        <v>4131</v>
      </c>
    </row>
    <row r="17" spans="1:4">
      <c r="A17" s="8"/>
      <c r="B17" s="3"/>
      <c r="C17" s="229"/>
      <c r="D17" s="228"/>
    </row>
    <row r="18" spans="1:4">
      <c r="A18" s="8"/>
      <c r="B18" s="3" t="s">
        <v>251</v>
      </c>
      <c r="C18" s="229"/>
      <c r="D18" s="228">
        <v>4900</v>
      </c>
    </row>
    <row r="19" spans="1:4">
      <c r="A19" s="8"/>
      <c r="B19" s="6"/>
      <c r="C19" s="6"/>
      <c r="D19" s="10"/>
    </row>
    <row r="20" spans="1:4">
      <c r="A20" s="8"/>
      <c r="B20" s="3" t="s">
        <v>5</v>
      </c>
      <c r="C20" s="12">
        <f>C10*C16</f>
        <v>670439.87499999988</v>
      </c>
      <c r="D20" s="12">
        <f>D10*D16</f>
        <v>659599.24860000005</v>
      </c>
    </row>
    <row r="21" spans="1:4">
      <c r="A21" s="8"/>
      <c r="B21" s="3" t="s">
        <v>6</v>
      </c>
      <c r="C21" s="18">
        <f>C12*C16</f>
        <v>25950</v>
      </c>
      <c r="D21" s="18">
        <f>D12*D18</f>
        <v>29400</v>
      </c>
    </row>
    <row r="22" spans="1:4">
      <c r="A22" s="19"/>
      <c r="B22" s="247" t="s">
        <v>7</v>
      </c>
      <c r="C22" s="247">
        <f>C13*C16</f>
        <v>108125</v>
      </c>
      <c r="D22" s="10">
        <v>0</v>
      </c>
    </row>
    <row r="23" spans="1:4">
      <c r="A23" s="10"/>
      <c r="B23" s="20" t="s">
        <v>8</v>
      </c>
      <c r="C23" s="230">
        <f>C20+C21+C22</f>
        <v>804514.87499999988</v>
      </c>
      <c r="D23" s="230">
        <f>D20+D21+D22</f>
        <v>688999.24860000005</v>
      </c>
    </row>
    <row r="24" spans="1:4">
      <c r="A24" s="10"/>
      <c r="B24" s="6"/>
      <c r="C24" s="6"/>
      <c r="D24" s="10"/>
    </row>
    <row r="25" spans="1:4">
      <c r="A25" s="10"/>
      <c r="B25" s="11" t="s">
        <v>9</v>
      </c>
      <c r="C25" s="12"/>
      <c r="D25" s="10"/>
    </row>
    <row r="26" spans="1:4">
      <c r="A26" s="21">
        <v>4</v>
      </c>
      <c r="B26" s="22" t="s">
        <v>10</v>
      </c>
      <c r="C26" s="23">
        <f>$A$26*C16</f>
        <v>17300</v>
      </c>
      <c r="D26" s="23">
        <f>$A$26*D16</f>
        <v>16524</v>
      </c>
    </row>
    <row r="27" spans="1:4">
      <c r="A27" s="21">
        <v>7</v>
      </c>
      <c r="B27" s="22" t="s">
        <v>11</v>
      </c>
      <c r="C27" s="23">
        <f>$A$27*C16</f>
        <v>30275</v>
      </c>
      <c r="D27" s="23">
        <f>$A$27*D16</f>
        <v>28917</v>
      </c>
    </row>
    <row r="28" spans="1:4">
      <c r="A28" s="10"/>
      <c r="B28" s="6"/>
      <c r="C28" s="6"/>
      <c r="D28" s="10"/>
    </row>
    <row r="29" spans="1:4">
      <c r="A29" s="10"/>
      <c r="B29" s="231" t="s">
        <v>12</v>
      </c>
      <c r="C29" s="232">
        <f>C20-C26-C27</f>
        <v>622864.87499999988</v>
      </c>
      <c r="D29" s="232">
        <f>D20-D26-D27</f>
        <v>614158.24860000005</v>
      </c>
    </row>
    <row r="30" spans="1:4">
      <c r="A30" s="10"/>
      <c r="B30" s="233" t="s">
        <v>13</v>
      </c>
      <c r="C30" s="234">
        <f>C21</f>
        <v>25950</v>
      </c>
      <c r="D30" s="234">
        <f>D21</f>
        <v>29400</v>
      </c>
    </row>
    <row r="31" spans="1:4">
      <c r="A31" s="10"/>
      <c r="B31" s="233" t="s">
        <v>14</v>
      </c>
      <c r="C31" s="234">
        <f>C22</f>
        <v>108125</v>
      </c>
      <c r="D31" s="234">
        <v>0</v>
      </c>
    </row>
    <row r="32" spans="1:4">
      <c r="A32" s="10"/>
      <c r="B32" s="6"/>
      <c r="C32" s="6"/>
      <c r="D32" s="10"/>
    </row>
    <row r="33" spans="1:4">
      <c r="A33" s="10"/>
      <c r="B33" s="6"/>
      <c r="C33" s="6"/>
      <c r="D33" s="10"/>
    </row>
    <row r="34" spans="1:4">
      <c r="A34" s="10"/>
      <c r="B34" s="6"/>
      <c r="C34" s="6"/>
      <c r="D34" s="10"/>
    </row>
    <row r="35" spans="1:4">
      <c r="A35" s="10"/>
      <c r="B35" s="6"/>
      <c r="C35" s="6"/>
      <c r="D35" s="10"/>
    </row>
    <row r="36" spans="1:4">
      <c r="A36" s="10"/>
      <c r="B36" s="6"/>
      <c r="C36" s="6"/>
      <c r="D36" s="10"/>
    </row>
    <row r="37" spans="1:4">
      <c r="A37" s="10"/>
      <c r="B37" s="6"/>
      <c r="C37" s="6"/>
      <c r="D37" s="10"/>
    </row>
    <row r="38" spans="1:4">
      <c r="A38" s="10"/>
      <c r="B38" s="6"/>
      <c r="C38" s="6"/>
      <c r="D38" s="10"/>
    </row>
    <row r="39" spans="1:4">
      <c r="A39" s="10"/>
      <c r="B39" s="6"/>
      <c r="C39" s="6"/>
      <c r="D39" s="10"/>
    </row>
    <row r="40" spans="1:4">
      <c r="A40" s="10"/>
      <c r="B40" s="10"/>
      <c r="C40" s="10"/>
      <c r="D40" s="10"/>
    </row>
    <row r="41" spans="1:4">
      <c r="A41" s="10"/>
      <c r="B41" s="10"/>
      <c r="C41" s="10"/>
      <c r="D41" s="10"/>
    </row>
    <row r="42" spans="1:4">
      <c r="A42" s="10"/>
      <c r="B42" s="10"/>
      <c r="C42" s="10"/>
      <c r="D42" s="10"/>
    </row>
    <row r="43" spans="1:4">
      <c r="A43" s="10"/>
      <c r="B43" s="10"/>
      <c r="C43" s="10"/>
      <c r="D43" s="10"/>
    </row>
    <row r="44" spans="1:4">
      <c r="A44" s="10"/>
      <c r="B44" s="10"/>
      <c r="C44" s="10"/>
      <c r="D44" s="10"/>
    </row>
    <row r="45" spans="1:4">
      <c r="A45" s="10"/>
      <c r="B45" s="10"/>
      <c r="C45" s="10"/>
      <c r="D45" s="10"/>
    </row>
  </sheetData>
  <phoneticPr fontId="13" type="noConversion"/>
  <pageMargins left="0.7" right="0.7" top="0.75" bottom="0.75" header="0.3" footer="0.3"/>
  <pageSetup scale="95" orientation="portrait" horizontalDpi="4294967292" verticalDpi="4294967292"/>
  <colBreaks count="1" manualBreakCount="1">
    <brk id="4" max="1048575" man="1"/>
  </colBreaks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Layout" topLeftCell="A17" zoomScale="150" zoomScaleNormal="150" zoomScalePageLayoutView="150" workbookViewId="0">
      <selection activeCell="D23" sqref="D23"/>
    </sheetView>
  </sheetViews>
  <sheetFormatPr baseColWidth="10" defaultColWidth="10.83203125" defaultRowHeight="14" x14ac:dyDescent="0"/>
  <cols>
    <col min="1" max="1" width="5.1640625" style="25" customWidth="1"/>
    <col min="2" max="2" width="35.83203125" style="25" customWidth="1"/>
    <col min="3" max="4" width="16.1640625" style="25" customWidth="1"/>
    <col min="5" max="5" width="15.33203125" style="25" customWidth="1"/>
    <col min="6" max="6" width="13.83203125" style="25" customWidth="1"/>
    <col min="7" max="7" width="14.33203125" style="25" customWidth="1"/>
    <col min="8" max="16384" width="10.83203125" style="25"/>
  </cols>
  <sheetData>
    <row r="1" spans="1:8" ht="24">
      <c r="A1" s="45"/>
      <c r="B1" s="24" t="s">
        <v>243</v>
      </c>
    </row>
    <row r="2" spans="1:8" ht="24">
      <c r="A2" s="235"/>
      <c r="B2" s="26" t="s">
        <v>16</v>
      </c>
      <c r="E2" s="27"/>
      <c r="F2" s="27"/>
      <c r="G2" s="27"/>
      <c r="H2" s="27"/>
    </row>
    <row r="3" spans="1:8">
      <c r="A3" s="45"/>
      <c r="E3" s="27"/>
      <c r="F3" s="27"/>
      <c r="G3" s="27"/>
      <c r="H3" s="27"/>
    </row>
    <row r="4" spans="1:8">
      <c r="A4" s="45"/>
      <c r="B4" s="27"/>
      <c r="C4" s="54" t="s">
        <v>17</v>
      </c>
      <c r="D4" s="54" t="s">
        <v>17</v>
      </c>
      <c r="E4" s="27"/>
      <c r="F4" s="31"/>
      <c r="G4" s="27"/>
    </row>
    <row r="5" spans="1:8">
      <c r="A5" s="236"/>
      <c r="B5" s="55" t="s">
        <v>19</v>
      </c>
      <c r="C5" s="56" t="s">
        <v>20</v>
      </c>
      <c r="D5" s="56" t="s">
        <v>234</v>
      </c>
      <c r="E5" s="27"/>
      <c r="F5" s="31"/>
      <c r="G5" s="27"/>
    </row>
    <row r="6" spans="1:8">
      <c r="A6" s="45"/>
      <c r="B6" s="35" t="s">
        <v>290</v>
      </c>
      <c r="C6" s="35">
        <f>'General Operations'!C15</f>
        <v>1357464.875</v>
      </c>
      <c r="D6" s="27">
        <f>'General Operations'!D15</f>
        <v>1385933.2486</v>
      </c>
      <c r="E6" s="27"/>
      <c r="F6" s="27"/>
      <c r="G6" s="27"/>
    </row>
    <row r="7" spans="1:8">
      <c r="A7" s="45"/>
      <c r="B7" s="35" t="s">
        <v>22</v>
      </c>
      <c r="C7" s="35">
        <f>'Representative Council'!B8</f>
        <v>0</v>
      </c>
      <c r="D7" s="27">
        <f>'Representative Council'!C8</f>
        <v>0</v>
      </c>
      <c r="E7" s="27"/>
      <c r="F7" s="27"/>
      <c r="G7" s="27"/>
    </row>
    <row r="8" spans="1:8">
      <c r="A8" s="45"/>
      <c r="B8" s="35" t="s">
        <v>23</v>
      </c>
      <c r="C8" s="35">
        <f>Executive!B7</f>
        <v>0</v>
      </c>
      <c r="D8" s="27">
        <v>0</v>
      </c>
      <c r="E8" s="27"/>
      <c r="F8" s="27"/>
      <c r="G8" s="27"/>
    </row>
    <row r="9" spans="1:8">
      <c r="A9" s="45"/>
      <c r="B9" s="35" t="s">
        <v>24</v>
      </c>
      <c r="C9" s="35">
        <f>'Activities and Events Consolida'!B13</f>
        <v>236250</v>
      </c>
      <c r="D9" s="27">
        <f>'Activities and Events Consolida'!C13</f>
        <v>238750</v>
      </c>
      <c r="E9" s="27"/>
      <c r="F9" s="27"/>
      <c r="G9" s="27"/>
    </row>
    <row r="10" spans="1:8">
      <c r="A10" s="45"/>
      <c r="B10" s="35" t="s">
        <v>25</v>
      </c>
      <c r="C10" s="35">
        <f>Communications!B11</f>
        <v>3000</v>
      </c>
      <c r="D10" s="27">
        <f>Communications!C11</f>
        <v>19500</v>
      </c>
      <c r="E10" s="27"/>
      <c r="F10" s="27"/>
      <c r="G10" s="27"/>
    </row>
    <row r="11" spans="1:8">
      <c r="A11" s="45"/>
      <c r="B11" s="35" t="s">
        <v>126</v>
      </c>
      <c r="C11" s="35">
        <f>'Residence Affairs'!B6</f>
        <v>0</v>
      </c>
      <c r="D11" s="27">
        <f>'Residence Affairs'!C6</f>
        <v>0</v>
      </c>
      <c r="E11" s="27"/>
      <c r="F11" s="27"/>
      <c r="G11" s="27"/>
    </row>
    <row r="12" spans="1:8">
      <c r="A12" s="45"/>
      <c r="B12" s="35" t="s">
        <v>26</v>
      </c>
      <c r="C12" s="35">
        <f>'External Affairs'!B7</f>
        <v>0</v>
      </c>
      <c r="D12" s="27">
        <f>Finance!C7</f>
        <v>0</v>
      </c>
      <c r="E12" s="27"/>
      <c r="F12" s="27"/>
      <c r="G12" s="27"/>
    </row>
    <row r="13" spans="1:8">
      <c r="A13" s="45"/>
      <c r="B13" s="35" t="s">
        <v>27</v>
      </c>
      <c r="C13" s="35">
        <f>Finance!B7</f>
        <v>0</v>
      </c>
      <c r="D13" s="27">
        <f>'External Affairs'!C7</f>
        <v>0</v>
      </c>
      <c r="E13" s="27"/>
      <c r="F13" s="27"/>
      <c r="G13" s="27"/>
    </row>
    <row r="14" spans="1:8">
      <c r="A14" s="45"/>
      <c r="B14" s="35" t="s">
        <v>28</v>
      </c>
      <c r="C14" s="35">
        <v>4000</v>
      </c>
      <c r="D14" s="27">
        <f>SFRC!C7</f>
        <v>4000</v>
      </c>
      <c r="E14" s="27"/>
      <c r="F14" s="27"/>
      <c r="G14" s="27"/>
    </row>
    <row r="15" spans="1:8">
      <c r="A15" s="45"/>
      <c r="B15" s="35" t="s">
        <v>29</v>
      </c>
      <c r="C15" s="35">
        <v>4000</v>
      </c>
      <c r="D15" s="27">
        <f>'Drive U'!C7</f>
        <v>0</v>
      </c>
      <c r="E15" s="27"/>
      <c r="F15" s="27"/>
      <c r="G15" s="27"/>
    </row>
    <row r="16" spans="1:8">
      <c r="A16" s="45"/>
      <c r="B16" s="35" t="s">
        <v>30</v>
      </c>
      <c r="C16" s="35">
        <f>'Golden X Inn'!B12</f>
        <v>402450</v>
      </c>
      <c r="D16" s="27">
        <f>'Golden X Inn'!C12</f>
        <v>390000</v>
      </c>
      <c r="E16" s="27"/>
      <c r="F16" s="27"/>
      <c r="G16" s="27"/>
    </row>
    <row r="17" spans="1:7">
      <c r="A17" s="45"/>
      <c r="B17" s="35" t="s">
        <v>31</v>
      </c>
      <c r="C17" s="35">
        <f>'Info Desk'!B8</f>
        <v>46000</v>
      </c>
      <c r="D17" s="27">
        <f>'Info Desk'!C8</f>
        <v>41000</v>
      </c>
      <c r="E17" s="27"/>
      <c r="F17" s="27"/>
      <c r="G17" s="27"/>
    </row>
    <row r="18" spans="1:7">
      <c r="A18" s="45"/>
      <c r="B18" s="35" t="s">
        <v>32</v>
      </c>
      <c r="C18" s="35">
        <f>'XAVERIAN WEEKLY'!B9</f>
        <v>11500</v>
      </c>
      <c r="D18" s="27">
        <f>'XAVERIAN WEEKLY'!C9</f>
        <v>11000</v>
      </c>
      <c r="E18" s="27"/>
      <c r="F18" s="27"/>
      <c r="G18" s="27"/>
    </row>
    <row r="19" spans="1:7">
      <c r="A19" s="45"/>
      <c r="B19" s="35" t="s">
        <v>33</v>
      </c>
      <c r="C19" s="35">
        <f>CFXU!B7</f>
        <v>2500</v>
      </c>
      <c r="D19" s="27">
        <f>CFXU!C7</f>
        <v>1000</v>
      </c>
      <c r="E19" s="27"/>
      <c r="F19" s="27"/>
      <c r="G19" s="27"/>
    </row>
    <row r="20" spans="1:7" ht="19" customHeight="1">
      <c r="A20" s="45"/>
      <c r="B20" s="58" t="s">
        <v>34</v>
      </c>
      <c r="C20" s="209">
        <f>SUM(C6:C19)</f>
        <v>2067164.875</v>
      </c>
      <c r="D20" s="209">
        <f>SUM(D6:D19)</f>
        <v>2091183.2486</v>
      </c>
      <c r="E20" s="27"/>
      <c r="F20" s="27"/>
      <c r="G20" s="27"/>
    </row>
    <row r="21" spans="1:7">
      <c r="A21" s="45"/>
      <c r="D21" s="27"/>
      <c r="E21" s="27"/>
      <c r="F21" s="27"/>
      <c r="G21" s="27"/>
    </row>
    <row r="22" spans="1:7">
      <c r="A22" s="45"/>
      <c r="B22" s="59" t="s">
        <v>35</v>
      </c>
      <c r="C22" s="60"/>
      <c r="D22" s="60"/>
      <c r="E22" s="27"/>
      <c r="F22" s="61"/>
      <c r="G22" s="27"/>
    </row>
    <row r="23" spans="1:7">
      <c r="A23" s="45"/>
      <c r="B23" s="35" t="s">
        <v>21</v>
      </c>
      <c r="C23" s="35">
        <f>'General Operations'!C39</f>
        <v>1052745</v>
      </c>
      <c r="D23" s="27">
        <f>'General Operations'!D39</f>
        <v>1081417</v>
      </c>
      <c r="E23" s="27"/>
      <c r="F23" s="61"/>
      <c r="G23" s="27"/>
    </row>
    <row r="24" spans="1:7">
      <c r="A24" s="45"/>
      <c r="B24" s="35" t="s">
        <v>36</v>
      </c>
      <c r="C24" s="35">
        <f>'Representative Council'!B18</f>
        <v>17720</v>
      </c>
      <c r="D24" s="27">
        <f>'Representative Council'!C18</f>
        <v>21155</v>
      </c>
      <c r="E24" s="27"/>
      <c r="F24" s="27"/>
      <c r="G24" s="27"/>
    </row>
    <row r="25" spans="1:7">
      <c r="A25" s="45"/>
      <c r="B25" s="35" t="s">
        <v>23</v>
      </c>
      <c r="C25" s="35">
        <f>Executive!B28</f>
        <v>97560</v>
      </c>
      <c r="D25" s="27">
        <f>Executive!C28</f>
        <v>100692.5</v>
      </c>
      <c r="E25" s="27"/>
      <c r="F25" s="27"/>
      <c r="G25" s="27"/>
    </row>
    <row r="26" spans="1:7">
      <c r="A26" s="45"/>
      <c r="B26" s="35" t="s">
        <v>24</v>
      </c>
      <c r="C26" s="35">
        <f>'Activities and Events Consolida'!B24</f>
        <v>236210</v>
      </c>
      <c r="D26" s="27">
        <f>'Activities and Events Consolida'!C24</f>
        <v>238710</v>
      </c>
      <c r="E26" s="27"/>
      <c r="F26" s="27"/>
      <c r="G26" s="27"/>
    </row>
    <row r="27" spans="1:7">
      <c r="A27" s="45"/>
      <c r="B27" s="35" t="s">
        <v>25</v>
      </c>
      <c r="C27" s="35">
        <f>Communications!B22</f>
        <v>44752.5</v>
      </c>
      <c r="D27" s="27">
        <f>Communications!C22</f>
        <v>39290</v>
      </c>
      <c r="E27" s="27"/>
      <c r="F27" s="27"/>
      <c r="G27" s="27"/>
    </row>
    <row r="28" spans="1:7">
      <c r="A28" s="45"/>
      <c r="B28" s="35" t="s">
        <v>126</v>
      </c>
      <c r="C28" s="35">
        <f>'Residence Affairs'!B20</f>
        <v>31185</v>
      </c>
      <c r="D28" s="27">
        <f>'Residence Affairs'!C20</f>
        <v>31185</v>
      </c>
      <c r="E28" s="27"/>
      <c r="F28" s="27"/>
      <c r="G28" s="27"/>
    </row>
    <row r="29" spans="1:7">
      <c r="A29" s="45"/>
      <c r="B29" s="35" t="s">
        <v>26</v>
      </c>
      <c r="C29" s="35">
        <f>'External Affairs'!B23</f>
        <v>54445</v>
      </c>
      <c r="D29" s="27">
        <f>'External Affairs'!C23</f>
        <v>54795</v>
      </c>
      <c r="E29" s="27"/>
      <c r="F29" s="27"/>
      <c r="G29" s="27"/>
    </row>
    <row r="30" spans="1:7">
      <c r="A30" s="45"/>
      <c r="B30" s="35" t="s">
        <v>27</v>
      </c>
      <c r="C30" s="35">
        <f>Finance!B16</f>
        <v>13040</v>
      </c>
      <c r="D30" s="27">
        <f>Finance!C16</f>
        <v>13540</v>
      </c>
      <c r="E30" s="27"/>
      <c r="F30" s="27"/>
      <c r="G30" s="27"/>
    </row>
    <row r="31" spans="1:7">
      <c r="A31" s="45"/>
      <c r="B31" s="35" t="s">
        <v>28</v>
      </c>
      <c r="C31" s="35">
        <f>SFRC!B14</f>
        <v>9030</v>
      </c>
      <c r="D31" s="27">
        <f>SFRC!C14</f>
        <v>9030</v>
      </c>
      <c r="E31" s="27"/>
      <c r="F31" s="27"/>
      <c r="G31" s="27"/>
    </row>
    <row r="32" spans="1:7">
      <c r="A32" s="45"/>
      <c r="B32" s="35" t="s">
        <v>29</v>
      </c>
      <c r="C32" s="35">
        <f>'Drive U'!B21</f>
        <v>27005</v>
      </c>
      <c r="D32" s="27">
        <f>'Drive U'!C21</f>
        <v>26224.17</v>
      </c>
      <c r="E32" s="27"/>
      <c r="F32" s="27"/>
      <c r="G32" s="27"/>
    </row>
    <row r="33" spans="1:8">
      <c r="A33" s="45"/>
      <c r="B33" s="35" t="s">
        <v>30</v>
      </c>
      <c r="C33" s="27">
        <f>'Golden X Inn'!B45</f>
        <v>380997</v>
      </c>
      <c r="D33" s="27">
        <f>'Golden X Inn'!C45</f>
        <v>361406.75800000003</v>
      </c>
      <c r="E33" s="27"/>
      <c r="F33" s="27"/>
      <c r="G33" s="27"/>
    </row>
    <row r="34" spans="1:8">
      <c r="A34" s="45"/>
      <c r="B34" s="35" t="s">
        <v>31</v>
      </c>
      <c r="C34" s="35">
        <f>'Info Desk'!B19</f>
        <v>60295</v>
      </c>
      <c r="D34" s="27">
        <f>'Info Desk'!C19</f>
        <v>65300</v>
      </c>
      <c r="E34" s="27"/>
      <c r="F34" s="27"/>
      <c r="G34" s="27"/>
    </row>
    <row r="35" spans="1:8">
      <c r="A35" s="45"/>
      <c r="B35" s="35" t="s">
        <v>32</v>
      </c>
      <c r="C35" s="35">
        <f>'XAVERIAN WEEKLY'!B19</f>
        <v>29037</v>
      </c>
      <c r="D35" s="27">
        <f>'XAVERIAN WEEKLY'!C19</f>
        <v>33115.839999999997</v>
      </c>
      <c r="E35" s="27"/>
      <c r="F35" s="27"/>
      <c r="G35" s="27"/>
    </row>
    <row r="36" spans="1:8">
      <c r="A36" s="45"/>
      <c r="B36" s="35" t="s">
        <v>33</v>
      </c>
      <c r="C36" s="39">
        <f>CFXU!B16</f>
        <v>11430</v>
      </c>
      <c r="D36" s="27">
        <f>CFXU!C16</f>
        <v>12430</v>
      </c>
      <c r="E36" s="27"/>
      <c r="F36" s="27"/>
      <c r="G36" s="27"/>
    </row>
    <row r="37" spans="1:8" ht="17" customHeight="1">
      <c r="A37" s="45"/>
      <c r="B37" s="62" t="s">
        <v>37</v>
      </c>
      <c r="C37" s="110">
        <f>SUM(C23:C36)</f>
        <v>2065451.5</v>
      </c>
      <c r="D37" s="176">
        <f>SUM(D23:D36)</f>
        <v>2088291.2679999999</v>
      </c>
      <c r="E37" s="27"/>
      <c r="F37" s="27"/>
      <c r="G37" s="27"/>
    </row>
    <row r="38" spans="1:8">
      <c r="A38" s="45"/>
      <c r="C38" s="164"/>
      <c r="D38" s="130"/>
      <c r="E38" s="27"/>
      <c r="F38" s="27"/>
      <c r="G38" s="27"/>
    </row>
    <row r="39" spans="1:8" ht="19" customHeight="1" thickBot="1">
      <c r="A39" s="45"/>
      <c r="B39" s="62" t="s">
        <v>232</v>
      </c>
      <c r="C39" s="152">
        <f>C20-C37</f>
        <v>1713.375</v>
      </c>
      <c r="D39" s="152">
        <f>D20-D37</f>
        <v>2891.9806000001263</v>
      </c>
      <c r="E39" s="27"/>
      <c r="F39" s="27"/>
      <c r="G39" s="27"/>
    </row>
    <row r="40" spans="1:8" ht="15" thickTop="1">
      <c r="A40" s="45"/>
      <c r="E40" s="27"/>
      <c r="F40" s="27"/>
      <c r="G40" s="27"/>
      <c r="H40" s="27"/>
    </row>
    <row r="41" spans="1:8">
      <c r="A41" s="45"/>
      <c r="F41" s="27"/>
      <c r="G41" s="27"/>
      <c r="H41" s="27"/>
    </row>
    <row r="42" spans="1:8">
      <c r="E42" s="27"/>
      <c r="F42" s="27"/>
      <c r="G42" s="27"/>
      <c r="H42" s="27"/>
    </row>
    <row r="43" spans="1:8">
      <c r="E43" s="27"/>
      <c r="F43" s="27"/>
      <c r="G43" s="27"/>
      <c r="H43" s="27"/>
    </row>
    <row r="44" spans="1:8">
      <c r="E44" s="27"/>
      <c r="F44" s="27"/>
      <c r="G44" s="27"/>
      <c r="H44" s="27"/>
    </row>
  </sheetData>
  <phoneticPr fontId="1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1" OnePage="0" WScale="95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51"/>
  <sheetViews>
    <sheetView tabSelected="1" view="pageLayout" topLeftCell="A15" zoomScale="150" zoomScaleNormal="150" zoomScalePageLayoutView="150" workbookViewId="0">
      <selection activeCell="D37" sqref="D37"/>
    </sheetView>
  </sheetViews>
  <sheetFormatPr baseColWidth="10" defaultColWidth="10.83203125" defaultRowHeight="14" x14ac:dyDescent="0"/>
  <cols>
    <col min="1" max="1" width="3.6640625" style="25" customWidth="1"/>
    <col min="2" max="2" width="36" style="25" customWidth="1"/>
    <col min="3" max="3" width="16.6640625" style="25" customWidth="1"/>
    <col min="4" max="4" width="16.1640625" style="25" customWidth="1"/>
    <col min="5" max="5" width="14" style="25" customWidth="1"/>
    <col min="6" max="6" width="15" style="25" customWidth="1"/>
    <col min="7" max="7" width="14.1640625" style="25" customWidth="1"/>
    <col min="8" max="16384" width="10.83203125" style="25"/>
  </cols>
  <sheetData>
    <row r="1" spans="2:7" ht="24">
      <c r="B1" s="24" t="s">
        <v>243</v>
      </c>
    </row>
    <row r="2" spans="2:7" ht="24">
      <c r="B2" s="26" t="s">
        <v>38</v>
      </c>
      <c r="E2" s="27"/>
      <c r="F2" s="27"/>
      <c r="G2" s="27"/>
    </row>
    <row r="3" spans="2:7">
      <c r="E3" s="27"/>
      <c r="F3" s="27"/>
      <c r="G3" s="27"/>
    </row>
    <row r="4" spans="2:7">
      <c r="B4" s="28"/>
      <c r="C4" s="29" t="s">
        <v>17</v>
      </c>
      <c r="D4" s="29" t="s">
        <v>17</v>
      </c>
      <c r="E4" s="27"/>
      <c r="F4" s="31" t="s">
        <v>18</v>
      </c>
    </row>
    <row r="5" spans="2:7">
      <c r="B5" s="32" t="s">
        <v>19</v>
      </c>
      <c r="C5" s="33" t="s">
        <v>20</v>
      </c>
      <c r="D5" s="33" t="s">
        <v>234</v>
      </c>
      <c r="E5" s="27"/>
      <c r="F5" s="31"/>
    </row>
    <row r="6" spans="2:7">
      <c r="B6" s="34" t="s">
        <v>290</v>
      </c>
      <c r="C6" s="35">
        <f>'Student Fee Breakdown'!C29</f>
        <v>622864.87499999988</v>
      </c>
      <c r="D6" s="27">
        <f>'Student Fee Breakdown'!D29</f>
        <v>614158.24860000005</v>
      </c>
      <c r="E6" s="27"/>
      <c r="F6" s="27"/>
    </row>
    <row r="7" spans="2:7">
      <c r="B7" s="34" t="s">
        <v>39</v>
      </c>
      <c r="C7" s="35">
        <v>624650</v>
      </c>
      <c r="D7" s="27">
        <f>655000+12375</f>
        <v>667375</v>
      </c>
      <c r="E7" s="27"/>
      <c r="F7" s="27"/>
    </row>
    <row r="8" spans="2:7">
      <c r="B8" s="34" t="s">
        <v>40</v>
      </c>
      <c r="C8" s="35">
        <f>'Student Fee Breakdown'!C30</f>
        <v>25950</v>
      </c>
      <c r="D8" s="27">
        <f>'Student Fee Breakdown'!D30</f>
        <v>29400</v>
      </c>
      <c r="E8" s="27"/>
      <c r="F8" s="27"/>
    </row>
    <row r="9" spans="2:7">
      <c r="B9" s="34" t="s">
        <v>41</v>
      </c>
      <c r="C9" s="35">
        <v>15000</v>
      </c>
      <c r="D9" s="27">
        <v>15000</v>
      </c>
      <c r="E9" s="27"/>
      <c r="F9" s="27"/>
    </row>
    <row r="10" spans="2:7">
      <c r="B10" s="34" t="s">
        <v>42</v>
      </c>
      <c r="C10" s="35">
        <v>12000</v>
      </c>
      <c r="D10" s="27">
        <v>9000</v>
      </c>
      <c r="E10" s="27"/>
      <c r="F10" s="27"/>
    </row>
    <row r="11" spans="2:7">
      <c r="B11" s="36" t="s">
        <v>43</v>
      </c>
      <c r="C11" s="37">
        <v>8000</v>
      </c>
      <c r="D11" s="27">
        <v>8000</v>
      </c>
      <c r="E11" s="27"/>
      <c r="F11" s="27"/>
    </row>
    <row r="12" spans="2:7">
      <c r="B12" s="36" t="s">
        <v>45</v>
      </c>
      <c r="C12" s="35">
        <v>25000</v>
      </c>
      <c r="D12" s="27">
        <v>25000</v>
      </c>
      <c r="E12" s="27"/>
      <c r="F12" s="27"/>
    </row>
    <row r="13" spans="2:7">
      <c r="B13" s="34" t="s">
        <v>46</v>
      </c>
      <c r="C13" s="35">
        <v>9000</v>
      </c>
      <c r="D13" s="27">
        <v>9000</v>
      </c>
      <c r="E13" s="27"/>
      <c r="F13" s="27"/>
    </row>
    <row r="14" spans="2:7">
      <c r="B14" s="34" t="s">
        <v>47</v>
      </c>
      <c r="C14" s="39">
        <v>15000</v>
      </c>
      <c r="D14" s="76">
        <v>9000</v>
      </c>
      <c r="E14" s="27"/>
      <c r="F14" s="27"/>
    </row>
    <row r="15" spans="2:7" ht="19" customHeight="1">
      <c r="B15" s="40" t="s">
        <v>34</v>
      </c>
      <c r="C15" s="110">
        <f>SUM(C6:C14)</f>
        <v>1357464.875</v>
      </c>
      <c r="D15" s="110">
        <f>SUM(D6:D14)</f>
        <v>1385933.2486</v>
      </c>
      <c r="E15" s="27"/>
      <c r="F15" s="27"/>
    </row>
    <row r="16" spans="2:7">
      <c r="D16" s="27"/>
      <c r="E16" s="27"/>
      <c r="F16" s="27"/>
    </row>
    <row r="17" spans="2:6">
      <c r="B17" s="43" t="s">
        <v>35</v>
      </c>
      <c r="C17" s="44"/>
      <c r="D17" s="44"/>
      <c r="E17" s="27"/>
      <c r="F17" s="27"/>
    </row>
    <row r="18" spans="2:6" hidden="1">
      <c r="B18" s="43" t="s">
        <v>35</v>
      </c>
      <c r="C18" s="44"/>
      <c r="D18" s="30"/>
      <c r="E18" s="27"/>
      <c r="F18" s="31"/>
    </row>
    <row r="19" spans="2:6">
      <c r="B19" s="36" t="s">
        <v>48</v>
      </c>
      <c r="C19" s="35">
        <v>15000</v>
      </c>
      <c r="D19" s="27">
        <v>15000</v>
      </c>
      <c r="E19" s="27"/>
      <c r="F19" s="31"/>
    </row>
    <row r="20" spans="2:6">
      <c r="B20" s="36" t="s">
        <v>49</v>
      </c>
      <c r="C20" s="35">
        <v>624650</v>
      </c>
      <c r="D20" s="27">
        <v>655000</v>
      </c>
      <c r="E20" s="27"/>
      <c r="F20" s="27"/>
    </row>
    <row r="21" spans="2:6">
      <c r="B21" s="36" t="s">
        <v>268</v>
      </c>
      <c r="C21" s="35">
        <v>25950</v>
      </c>
      <c r="D21" s="27">
        <f>D8</f>
        <v>29400</v>
      </c>
      <c r="E21" s="27"/>
      <c r="F21" s="27"/>
    </row>
    <row r="22" spans="2:6">
      <c r="B22" s="36" t="s">
        <v>281</v>
      </c>
      <c r="C22" s="35">
        <v>20000</v>
      </c>
      <c r="D22" s="27">
        <v>20000</v>
      </c>
      <c r="E22" s="27"/>
      <c r="F22" s="27"/>
    </row>
    <row r="23" spans="2:6">
      <c r="B23" s="36" t="s">
        <v>50</v>
      </c>
      <c r="C23" s="35">
        <v>16000</v>
      </c>
      <c r="D23" s="27">
        <v>16000</v>
      </c>
      <c r="E23" s="27"/>
      <c r="F23" s="27"/>
    </row>
    <row r="24" spans="2:6">
      <c r="B24" s="36" t="s">
        <v>51</v>
      </c>
      <c r="C24" s="35">
        <v>1000</v>
      </c>
      <c r="D24" s="27">
        <v>1000</v>
      </c>
      <c r="E24" s="27"/>
      <c r="F24" s="27"/>
    </row>
    <row r="25" spans="2:6">
      <c r="B25" s="36" t="s">
        <v>52</v>
      </c>
      <c r="C25" s="35">
        <v>2900</v>
      </c>
      <c r="D25" s="27">
        <v>3300</v>
      </c>
      <c r="E25" s="27"/>
      <c r="F25" s="27"/>
    </row>
    <row r="26" spans="2:6">
      <c r="B26" s="36" t="s">
        <v>53</v>
      </c>
      <c r="C26" s="35">
        <v>16500</v>
      </c>
      <c r="D26" s="27">
        <v>16500</v>
      </c>
      <c r="E26" s="27"/>
      <c r="F26" s="27"/>
    </row>
    <row r="27" spans="2:6">
      <c r="B27" s="36" t="s">
        <v>235</v>
      </c>
      <c r="C27" s="35">
        <v>2500</v>
      </c>
      <c r="D27" s="27">
        <v>5000</v>
      </c>
      <c r="E27" s="27"/>
      <c r="F27" s="27"/>
    </row>
    <row r="28" spans="2:6">
      <c r="B28" s="36" t="s">
        <v>54</v>
      </c>
      <c r="C28" s="35">
        <v>28000</v>
      </c>
      <c r="D28" s="27">
        <v>28000</v>
      </c>
      <c r="E28" s="27"/>
      <c r="F28" s="27"/>
    </row>
    <row r="29" spans="2:6">
      <c r="B29" s="36" t="s">
        <v>55</v>
      </c>
      <c r="C29" s="35">
        <v>1500</v>
      </c>
      <c r="D29" s="27">
        <v>1000</v>
      </c>
      <c r="E29" s="27"/>
      <c r="F29" s="27"/>
    </row>
    <row r="30" spans="2:6">
      <c r="B30" s="36" t="s">
        <v>56</v>
      </c>
      <c r="C30" s="35">
        <v>5000</v>
      </c>
      <c r="D30" s="27">
        <v>2000</v>
      </c>
      <c r="E30" s="27"/>
      <c r="F30" s="27"/>
    </row>
    <row r="31" spans="2:6">
      <c r="B31" s="36" t="s">
        <v>41</v>
      </c>
      <c r="C31" s="27">
        <v>300</v>
      </c>
      <c r="D31" s="27">
        <v>300</v>
      </c>
      <c r="E31" s="27"/>
      <c r="F31" s="27"/>
    </row>
    <row r="32" spans="2:6">
      <c r="B32" s="36" t="s">
        <v>57</v>
      </c>
      <c r="C32" s="35">
        <v>12000</v>
      </c>
      <c r="D32" s="27">
        <v>15000</v>
      </c>
      <c r="E32" s="27"/>
      <c r="F32" s="27"/>
    </row>
    <row r="33" spans="2:7">
      <c r="B33" s="36" t="s">
        <v>58</v>
      </c>
      <c r="C33" s="35">
        <v>3000</v>
      </c>
      <c r="D33" s="27">
        <v>0</v>
      </c>
      <c r="E33" s="27"/>
      <c r="F33" s="27"/>
    </row>
    <row r="34" spans="2:7">
      <c r="B34" s="36" t="s">
        <v>59</v>
      </c>
      <c r="C34" s="27">
        <v>750</v>
      </c>
      <c r="D34" s="27">
        <v>750</v>
      </c>
      <c r="E34" s="27"/>
      <c r="F34" s="27"/>
    </row>
    <row r="35" spans="2:7">
      <c r="B35" s="36" t="s">
        <v>60</v>
      </c>
      <c r="C35" s="27">
        <v>500</v>
      </c>
      <c r="D35" s="27">
        <v>500</v>
      </c>
      <c r="E35" s="27"/>
      <c r="F35" s="27"/>
    </row>
    <row r="36" spans="2:7">
      <c r="B36" s="46" t="s">
        <v>61</v>
      </c>
      <c r="C36" s="45">
        <v>240155</v>
      </c>
      <c r="D36" s="27">
        <f>C36+5412</f>
        <v>245567</v>
      </c>
      <c r="E36" s="27"/>
      <c r="F36" s="27"/>
    </row>
    <row r="37" spans="2:7">
      <c r="B37" s="46" t="s">
        <v>62</v>
      </c>
      <c r="C37" s="25">
        <v>35000</v>
      </c>
      <c r="D37" s="27">
        <v>25000</v>
      </c>
      <c r="E37" s="27"/>
      <c r="F37" s="27"/>
    </row>
    <row r="38" spans="2:7">
      <c r="B38" s="46" t="s">
        <v>63</v>
      </c>
      <c r="C38" s="25">
        <v>2040</v>
      </c>
      <c r="D38" s="27">
        <v>2100</v>
      </c>
      <c r="E38" s="27"/>
      <c r="F38" s="27"/>
    </row>
    <row r="39" spans="2:7" ht="19" customHeight="1">
      <c r="B39" s="40" t="s">
        <v>37</v>
      </c>
      <c r="C39" s="110">
        <f>SUM(C19:C38)</f>
        <v>1052745</v>
      </c>
      <c r="D39" s="110">
        <f>SUM(D19:D38)</f>
        <v>1081417</v>
      </c>
      <c r="E39" s="27"/>
      <c r="F39" s="27"/>
    </row>
    <row r="40" spans="2:7">
      <c r="D40" s="27"/>
      <c r="E40" s="27"/>
      <c r="F40" s="27"/>
    </row>
    <row r="41" spans="2:7" ht="21" customHeight="1" thickBot="1">
      <c r="B41" s="62" t="s">
        <v>252</v>
      </c>
      <c r="C41" s="152">
        <f>C15-C39</f>
        <v>304719.875</v>
      </c>
      <c r="D41" s="152">
        <f>D15-D39</f>
        <v>304516.24860000005</v>
      </c>
      <c r="E41" s="27"/>
      <c r="F41" s="27"/>
    </row>
    <row r="42" spans="2:7" ht="15" thickTop="1">
      <c r="E42" s="27"/>
      <c r="F42" s="27"/>
    </row>
    <row r="43" spans="2:7">
      <c r="E43" s="27"/>
      <c r="F43" s="27"/>
    </row>
    <row r="44" spans="2:7">
      <c r="E44" s="27"/>
      <c r="F44" s="27"/>
      <c r="G44" s="27"/>
    </row>
    <row r="45" spans="2:7">
      <c r="E45" s="27"/>
      <c r="F45" s="27"/>
      <c r="G45" s="27"/>
    </row>
    <row r="46" spans="2:7">
      <c r="E46" s="27"/>
      <c r="F46" s="27"/>
      <c r="G46" s="27"/>
    </row>
    <row r="47" spans="2:7">
      <c r="E47" s="27"/>
      <c r="F47" s="27"/>
      <c r="G47" s="27"/>
    </row>
    <row r="48" spans="2:7" ht="18" customHeight="1">
      <c r="E48" s="27"/>
      <c r="F48" s="27"/>
      <c r="G48" s="27"/>
    </row>
    <row r="49" spans="5:7">
      <c r="E49" s="27"/>
      <c r="F49" s="27"/>
      <c r="G49" s="27"/>
    </row>
    <row r="50" spans="5:7">
      <c r="E50" s="27"/>
      <c r="F50" s="27"/>
      <c r="G50" s="27"/>
    </row>
    <row r="51" spans="5:7">
      <c r="E51" s="27"/>
      <c r="F51" s="27"/>
      <c r="G51" s="27"/>
    </row>
  </sheetData>
  <phoneticPr fontId="13" type="noConversion"/>
  <pageMargins left="0.45" right="0.45" top="0.5" bottom="0.5" header="0" footer="0"/>
  <pageSetup scale="78" orientation="portrait" horizontalDpi="4294967292" verticalDpi="4294967292"/>
  <legacyDrawing r:id="rId1"/>
  <extLst>
    <ext xmlns:mx="http://schemas.microsoft.com/office/mac/excel/2008/main" uri="{64002731-A6B0-56B0-2670-7721B7C09600}">
      <mx:PLV Mode="1" OnePage="0" WScale="78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4"/>
  <sheetViews>
    <sheetView view="pageLayout" topLeftCell="A15" zoomScale="150" zoomScaleNormal="150" zoomScalePageLayoutView="150" workbookViewId="0">
      <selection activeCell="A8" sqref="A8"/>
    </sheetView>
  </sheetViews>
  <sheetFormatPr baseColWidth="10" defaultColWidth="10.83203125" defaultRowHeight="15" x14ac:dyDescent="0"/>
  <cols>
    <col min="1" max="1" width="36" style="64" customWidth="1"/>
    <col min="2" max="3" width="15.83203125" style="64" customWidth="1"/>
    <col min="4" max="4" width="24.5" style="64" customWidth="1"/>
    <col min="5" max="16384" width="10.83203125" style="64"/>
  </cols>
  <sheetData>
    <row r="1" spans="1:6" ht="24">
      <c r="A1" s="24" t="s">
        <v>243</v>
      </c>
    </row>
    <row r="2" spans="1:6" ht="24">
      <c r="A2" s="26" t="s">
        <v>65</v>
      </c>
    </row>
    <row r="3" spans="1:6">
      <c r="A3" s="65"/>
      <c r="B3" s="65"/>
      <c r="C3" s="65"/>
      <c r="D3" s="66"/>
      <c r="F3" s="66"/>
    </row>
    <row r="4" spans="1:6">
      <c r="A4" s="65"/>
      <c r="B4" s="65"/>
      <c r="C4" s="65"/>
      <c r="D4" s="66"/>
      <c r="F4" s="66"/>
    </row>
    <row r="5" spans="1:6">
      <c r="A5" s="67"/>
      <c r="B5" s="68" t="s">
        <v>17</v>
      </c>
      <c r="C5" s="68" t="s">
        <v>17</v>
      </c>
      <c r="E5" s="70"/>
    </row>
    <row r="6" spans="1:6">
      <c r="A6" s="32" t="s">
        <v>19</v>
      </c>
      <c r="B6" s="71"/>
      <c r="C6" s="71" t="s">
        <v>234</v>
      </c>
      <c r="E6" s="70"/>
    </row>
    <row r="7" spans="1:6">
      <c r="A7" s="34"/>
      <c r="B7" s="72">
        <v>0</v>
      </c>
      <c r="C7" s="66">
        <v>0</v>
      </c>
      <c r="E7" s="66"/>
    </row>
    <row r="8" spans="1:6" ht="19" customHeight="1">
      <c r="A8" s="73" t="s">
        <v>34</v>
      </c>
      <c r="B8" s="28">
        <v>0</v>
      </c>
      <c r="C8" s="183">
        <v>0</v>
      </c>
      <c r="E8" s="66"/>
    </row>
    <row r="9" spans="1:6">
      <c r="A9" s="34"/>
      <c r="B9" s="35"/>
      <c r="C9" s="66"/>
      <c r="E9" s="66"/>
    </row>
    <row r="10" spans="1:6">
      <c r="A10" s="74"/>
      <c r="B10" s="31"/>
      <c r="C10" s="69"/>
      <c r="E10" s="70"/>
    </row>
    <row r="11" spans="1:6">
      <c r="A11" s="43" t="s">
        <v>35</v>
      </c>
      <c r="B11" s="44"/>
      <c r="C11" s="174"/>
      <c r="E11" s="70"/>
    </row>
    <row r="12" spans="1:6">
      <c r="A12" s="25" t="s">
        <v>66</v>
      </c>
      <c r="B12" s="25">
        <f>8770</f>
        <v>8770</v>
      </c>
      <c r="C12" s="66">
        <f>'Honorarium Breakdown'!C12</f>
        <v>13905</v>
      </c>
      <c r="D12" s="240"/>
      <c r="E12" s="66"/>
    </row>
    <row r="13" spans="1:6">
      <c r="A13" s="25" t="s">
        <v>67</v>
      </c>
      <c r="B13" s="25">
        <v>6150</v>
      </c>
      <c r="C13" s="66">
        <v>1150</v>
      </c>
      <c r="E13" s="66"/>
    </row>
    <row r="14" spans="1:6">
      <c r="A14" s="25" t="s">
        <v>236</v>
      </c>
      <c r="B14" s="25">
        <v>0</v>
      </c>
      <c r="C14" s="66">
        <v>5000</v>
      </c>
      <c r="E14" s="66"/>
    </row>
    <row r="15" spans="1:6">
      <c r="A15" s="25" t="s">
        <v>68</v>
      </c>
      <c r="B15" s="25">
        <v>500</v>
      </c>
      <c r="C15" s="66">
        <v>600</v>
      </c>
      <c r="E15" s="66"/>
    </row>
    <row r="16" spans="1:6">
      <c r="A16" s="25" t="s">
        <v>271</v>
      </c>
      <c r="B16" s="35">
        <v>800</v>
      </c>
      <c r="C16" s="66">
        <v>500</v>
      </c>
      <c r="E16" s="66"/>
    </row>
    <row r="17" spans="1:6">
      <c r="A17" s="36" t="s">
        <v>69</v>
      </c>
      <c r="B17" s="27">
        <v>1500</v>
      </c>
      <c r="C17" s="66">
        <v>0</v>
      </c>
      <c r="E17" s="66"/>
    </row>
    <row r="18" spans="1:6" ht="19" customHeight="1">
      <c r="A18" s="40" t="s">
        <v>37</v>
      </c>
      <c r="B18" s="110">
        <f>SUM(B12:B17)</f>
        <v>17720</v>
      </c>
      <c r="C18" s="110">
        <f>SUM(C12:C17)</f>
        <v>21155</v>
      </c>
      <c r="E18" s="66"/>
    </row>
    <row r="19" spans="1:6">
      <c r="A19" s="46"/>
      <c r="B19" s="164"/>
      <c r="C19" s="130"/>
      <c r="E19" s="66"/>
    </row>
    <row r="20" spans="1:6" ht="19" customHeight="1" thickBot="1">
      <c r="A20" s="62" t="s">
        <v>232</v>
      </c>
      <c r="B20" s="152">
        <f>(B8-B18)</f>
        <v>-17720</v>
      </c>
      <c r="C20" s="152">
        <f>(C8-C18)</f>
        <v>-21155</v>
      </c>
      <c r="E20" s="66"/>
    </row>
    <row r="21" spans="1:6" ht="16" thickTop="1">
      <c r="A21" s="25"/>
      <c r="B21" s="25"/>
      <c r="C21" s="25"/>
      <c r="D21" s="66"/>
      <c r="F21" s="66"/>
    </row>
    <row r="22" spans="1:6">
      <c r="A22" s="25"/>
      <c r="B22" s="25"/>
      <c r="C22" s="25"/>
      <c r="D22" s="66"/>
      <c r="F22" s="66"/>
    </row>
    <row r="23" spans="1:6">
      <c r="A23" s="65"/>
      <c r="B23" s="65"/>
      <c r="C23" s="66"/>
      <c r="D23" s="66"/>
      <c r="E23" s="65"/>
      <c r="F23" s="66"/>
    </row>
    <row r="24" spans="1:6">
      <c r="C24" s="77"/>
      <c r="D24" s="77"/>
      <c r="F24" s="77"/>
    </row>
    <row r="25" spans="1:6">
      <c r="B25" s="78"/>
      <c r="C25" s="77"/>
      <c r="D25" s="77"/>
      <c r="E25" s="78"/>
      <c r="F25" s="77"/>
    </row>
    <row r="26" spans="1:6">
      <c r="A26" s="79"/>
      <c r="B26" s="78"/>
      <c r="C26" s="77"/>
      <c r="D26" s="77"/>
      <c r="E26" s="77"/>
      <c r="F26" s="78"/>
    </row>
    <row r="27" spans="1:6">
      <c r="A27" s="79"/>
      <c r="B27" s="78"/>
      <c r="C27" s="77"/>
      <c r="D27" s="77"/>
      <c r="E27" s="78"/>
      <c r="F27" s="78"/>
    </row>
    <row r="28" spans="1:6">
      <c r="A28" s="79"/>
      <c r="B28" s="78"/>
      <c r="C28" s="77"/>
      <c r="D28" s="77"/>
      <c r="E28" s="77"/>
      <c r="F28" s="78"/>
    </row>
    <row r="29" spans="1:6">
      <c r="A29" s="80"/>
      <c r="B29" s="77"/>
      <c r="C29" s="77"/>
      <c r="D29" s="77"/>
      <c r="E29" s="77"/>
      <c r="F29" s="78"/>
    </row>
    <row r="30" spans="1:6">
      <c r="A30" s="80"/>
      <c r="B30" s="77"/>
      <c r="C30" s="78"/>
      <c r="D30" s="78"/>
      <c r="E30" s="77"/>
      <c r="F30" s="78"/>
    </row>
    <row r="31" spans="1:6">
      <c r="A31" s="78"/>
      <c r="B31" s="78"/>
      <c r="C31" s="78"/>
      <c r="D31" s="78"/>
      <c r="E31" s="78"/>
      <c r="F31" s="78"/>
    </row>
    <row r="32" spans="1:6">
      <c r="A32" s="78"/>
      <c r="B32" s="78"/>
      <c r="C32" s="78"/>
      <c r="D32" s="78"/>
      <c r="E32" s="78"/>
      <c r="F32" s="78"/>
    </row>
    <row r="33" spans="1:6">
      <c r="A33" s="78"/>
      <c r="B33" s="78"/>
      <c r="C33" s="78"/>
      <c r="D33" s="78"/>
      <c r="E33" s="78"/>
      <c r="F33" s="78"/>
    </row>
    <row r="34" spans="1:6">
      <c r="A34" s="78"/>
      <c r="B34" s="78"/>
      <c r="C34" s="78"/>
      <c r="D34" s="78"/>
      <c r="E34" s="78"/>
      <c r="F34" s="78"/>
    </row>
  </sheetData>
  <phoneticPr fontId="13" type="noConversion"/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4"/>
  <sheetViews>
    <sheetView view="pageLayout" zoomScale="150" zoomScaleNormal="150" zoomScalePageLayoutView="150" workbookViewId="0">
      <selection activeCell="B7" sqref="B7"/>
    </sheetView>
  </sheetViews>
  <sheetFormatPr baseColWidth="10" defaultColWidth="10.83203125" defaultRowHeight="14" x14ac:dyDescent="0"/>
  <cols>
    <col min="1" max="1" width="35.83203125" style="25" customWidth="1"/>
    <col min="2" max="2" width="16.5" style="25" customWidth="1"/>
    <col min="3" max="3" width="16.33203125" style="25" customWidth="1"/>
    <col min="4" max="4" width="10.83203125" style="25"/>
    <col min="5" max="5" width="11.6640625" style="25" bestFit="1" customWidth="1"/>
    <col min="6" max="7" width="10.83203125" style="25"/>
    <col min="8" max="8" width="25.5" style="25" customWidth="1"/>
    <col min="9" max="16384" width="10.83203125" style="25"/>
  </cols>
  <sheetData>
    <row r="1" spans="1:6" ht="24">
      <c r="A1" s="24" t="s">
        <v>243</v>
      </c>
    </row>
    <row r="2" spans="1:6" ht="24">
      <c r="A2" s="26" t="s">
        <v>23</v>
      </c>
      <c r="D2" s="27"/>
      <c r="E2" s="27"/>
      <c r="F2" s="27"/>
    </row>
    <row r="3" spans="1:6">
      <c r="D3" s="27"/>
      <c r="E3" s="27"/>
      <c r="F3" s="27"/>
    </row>
    <row r="4" spans="1:6">
      <c r="A4" s="67"/>
      <c r="B4" s="29" t="s">
        <v>17</v>
      </c>
      <c r="C4" s="29" t="s">
        <v>17</v>
      </c>
      <c r="D4" s="27"/>
      <c r="E4" s="31"/>
    </row>
    <row r="5" spans="1:6">
      <c r="A5" s="81" t="s">
        <v>19</v>
      </c>
      <c r="B5" s="33" t="s">
        <v>20</v>
      </c>
      <c r="C5" s="33" t="s">
        <v>234</v>
      </c>
      <c r="D5" s="27"/>
      <c r="E5" s="31"/>
    </row>
    <row r="6" spans="1:6">
      <c r="A6" s="34" t="s">
        <v>44</v>
      </c>
      <c r="B6" s="72">
        <v>0</v>
      </c>
      <c r="C6" s="27">
        <v>0</v>
      </c>
      <c r="D6" s="27"/>
      <c r="E6" s="27"/>
    </row>
    <row r="7" spans="1:6">
      <c r="A7" s="73" t="s">
        <v>34</v>
      </c>
      <c r="B7" s="28">
        <f>B6</f>
        <v>0</v>
      </c>
      <c r="C7" s="183">
        <v>0</v>
      </c>
      <c r="D7" s="27"/>
      <c r="E7" s="27"/>
    </row>
    <row r="8" spans="1:6">
      <c r="A8" s="34"/>
      <c r="B8" s="35"/>
      <c r="C8" s="27"/>
      <c r="D8" s="27"/>
    </row>
    <row r="9" spans="1:6">
      <c r="A9" s="35"/>
      <c r="B9" s="61"/>
      <c r="C9" s="82"/>
      <c r="D9" s="27"/>
      <c r="E9" s="27"/>
    </row>
    <row r="10" spans="1:6">
      <c r="A10" s="43" t="s">
        <v>35</v>
      </c>
      <c r="B10" s="83"/>
      <c r="C10" s="83"/>
      <c r="D10" s="27"/>
      <c r="E10" s="61"/>
    </row>
    <row r="11" spans="1:6">
      <c r="A11" s="36" t="s">
        <v>70</v>
      </c>
      <c r="B11" s="45">
        <v>3500</v>
      </c>
      <c r="C11" s="57">
        <v>0</v>
      </c>
      <c r="D11" s="27"/>
      <c r="E11" s="27"/>
    </row>
    <row r="12" spans="1:6">
      <c r="A12" s="34" t="s">
        <v>71</v>
      </c>
      <c r="B12" s="25">
        <v>500</v>
      </c>
      <c r="C12" s="57">
        <v>0</v>
      </c>
      <c r="D12" s="27"/>
      <c r="E12" s="27"/>
    </row>
    <row r="13" spans="1:6">
      <c r="A13" s="34" t="s">
        <v>72</v>
      </c>
      <c r="B13" s="25">
        <v>57650</v>
      </c>
      <c r="C13" s="57">
        <v>57650</v>
      </c>
      <c r="D13" s="27"/>
      <c r="E13" s="27"/>
    </row>
    <row r="14" spans="1:6">
      <c r="A14" s="34" t="s">
        <v>75</v>
      </c>
      <c r="B14" s="25">
        <v>2160</v>
      </c>
      <c r="C14" s="57">
        <v>2520</v>
      </c>
      <c r="D14" s="27"/>
      <c r="E14" s="27"/>
    </row>
    <row r="15" spans="1:6">
      <c r="A15" s="34" t="s">
        <v>76</v>
      </c>
      <c r="B15" s="25">
        <v>9000</v>
      </c>
      <c r="C15" s="57">
        <v>9000</v>
      </c>
      <c r="D15" s="27"/>
      <c r="E15" s="27"/>
    </row>
    <row r="16" spans="1:6">
      <c r="A16" s="34" t="s">
        <v>73</v>
      </c>
      <c r="B16" s="25">
        <v>3250</v>
      </c>
      <c r="C16" s="57">
        <v>3250</v>
      </c>
      <c r="D16" s="27"/>
      <c r="E16" s="27"/>
    </row>
    <row r="17" spans="1:6">
      <c r="A17" s="34" t="s">
        <v>74</v>
      </c>
      <c r="B17" s="25">
        <v>1000</v>
      </c>
      <c r="C17" s="57">
        <v>500</v>
      </c>
      <c r="D17" s="27"/>
      <c r="E17" s="27"/>
    </row>
    <row r="18" spans="1:6">
      <c r="A18" s="34" t="s">
        <v>77</v>
      </c>
      <c r="B18" s="25">
        <v>1500</v>
      </c>
      <c r="C18" s="57">
        <v>1500</v>
      </c>
      <c r="D18" s="27"/>
      <c r="E18" s="27"/>
    </row>
    <row r="19" spans="1:6">
      <c r="A19" s="34" t="s">
        <v>78</v>
      </c>
      <c r="B19" s="25">
        <v>500</v>
      </c>
      <c r="C19" s="57">
        <v>500</v>
      </c>
      <c r="D19" s="27"/>
      <c r="E19" s="27"/>
    </row>
    <row r="20" spans="1:6">
      <c r="A20" s="34" t="s">
        <v>57</v>
      </c>
      <c r="B20" s="39">
        <v>10000</v>
      </c>
      <c r="C20" s="47">
        <v>14000</v>
      </c>
      <c r="D20" s="27"/>
      <c r="E20" s="27"/>
    </row>
    <row r="21" spans="1:6" ht="20" customHeight="1">
      <c r="A21" s="73" t="s">
        <v>79</v>
      </c>
      <c r="B21" s="190">
        <f>SUM(B11:B20)</f>
        <v>89060</v>
      </c>
      <c r="C21" s="191">
        <f>SUM(C11:C20)</f>
        <v>88920</v>
      </c>
      <c r="D21" s="27"/>
      <c r="E21" s="27"/>
    </row>
    <row r="22" spans="1:6">
      <c r="A22" s="34"/>
      <c r="C22" s="57"/>
      <c r="D22" s="27"/>
      <c r="E22" s="27"/>
    </row>
    <row r="23" spans="1:6">
      <c r="A23" s="84" t="s">
        <v>80</v>
      </c>
      <c r="B23" s="86">
        <v>6000</v>
      </c>
      <c r="C23" s="57">
        <v>6000</v>
      </c>
      <c r="D23" s="27"/>
      <c r="E23" s="27"/>
    </row>
    <row r="24" spans="1:6">
      <c r="A24" s="84" t="s">
        <v>286</v>
      </c>
      <c r="B24" s="86">
        <v>0</v>
      </c>
      <c r="C24" s="57">
        <v>772.5</v>
      </c>
      <c r="D24" s="27"/>
      <c r="E24" s="27"/>
    </row>
    <row r="25" spans="1:6">
      <c r="A25" s="84" t="s">
        <v>69</v>
      </c>
      <c r="B25" s="25">
        <v>0</v>
      </c>
      <c r="C25" s="57">
        <v>1500</v>
      </c>
      <c r="D25" s="27"/>
      <c r="E25" s="27"/>
    </row>
    <row r="26" spans="1:6">
      <c r="A26" s="84" t="s">
        <v>81</v>
      </c>
      <c r="B26" s="86">
        <v>2500</v>
      </c>
      <c r="C26" s="57">
        <v>3500</v>
      </c>
      <c r="D26" s="27"/>
      <c r="E26" s="27"/>
    </row>
    <row r="27" spans="1:6">
      <c r="A27" s="163"/>
      <c r="B27" s="164"/>
      <c r="C27" s="188"/>
      <c r="D27" s="27"/>
      <c r="E27" s="27"/>
    </row>
    <row r="28" spans="1:6" ht="19" customHeight="1">
      <c r="A28" s="73" t="s">
        <v>82</v>
      </c>
      <c r="B28" s="110">
        <f>B21+B23+B26</f>
        <v>97560</v>
      </c>
      <c r="C28" s="189">
        <f>C21+SUM(C23:C26)</f>
        <v>100692.5</v>
      </c>
      <c r="D28" s="27"/>
      <c r="E28" s="27"/>
    </row>
    <row r="29" spans="1:6">
      <c r="D29" s="27"/>
      <c r="E29" s="27"/>
    </row>
    <row r="30" spans="1:6" ht="19" customHeight="1" thickBot="1">
      <c r="A30" s="62" t="s">
        <v>252</v>
      </c>
      <c r="B30" s="152">
        <f>B7-B28</f>
        <v>-97560</v>
      </c>
      <c r="C30" s="152">
        <f>C7-C28</f>
        <v>-100692.5</v>
      </c>
      <c r="D30" s="57"/>
      <c r="E30" s="27"/>
      <c r="F30" s="27"/>
    </row>
    <row r="31" spans="1:6" ht="15" thickTop="1">
      <c r="A31" s="164"/>
      <c r="D31" s="57"/>
      <c r="E31" s="27"/>
      <c r="F31" s="27"/>
    </row>
    <row r="32" spans="1:6">
      <c r="D32" s="57"/>
      <c r="E32" s="27"/>
      <c r="F32" s="27"/>
    </row>
    <row r="33" spans="4:6">
      <c r="D33" s="27"/>
      <c r="E33" s="27"/>
      <c r="F33" s="27"/>
    </row>
    <row r="34" spans="4:6">
      <c r="D34" s="27"/>
      <c r="E34" s="27"/>
      <c r="F34" s="27"/>
    </row>
  </sheetData>
  <phoneticPr fontId="13" type="noConversion"/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5"/>
  <sheetViews>
    <sheetView view="pageLayout" topLeftCell="A15" zoomScale="150" zoomScaleNormal="150" zoomScalePageLayoutView="150" workbookViewId="0">
      <selection activeCell="B6" sqref="B6"/>
    </sheetView>
  </sheetViews>
  <sheetFormatPr baseColWidth="10" defaultColWidth="10.83203125" defaultRowHeight="14" x14ac:dyDescent="0"/>
  <cols>
    <col min="1" max="1" width="35.6640625" style="88" customWidth="1"/>
    <col min="2" max="2" width="15.83203125" style="88" customWidth="1"/>
    <col min="3" max="3" width="16" style="88" customWidth="1"/>
    <col min="4" max="4" width="13.33203125" style="88" customWidth="1"/>
    <col min="5" max="5" width="13.83203125" style="88" customWidth="1"/>
    <col min="6" max="6" width="16.1640625" style="88" customWidth="1"/>
    <col min="7" max="16384" width="10.83203125" style="88"/>
  </cols>
  <sheetData>
    <row r="1" spans="1:6" ht="24">
      <c r="A1" s="26" t="s">
        <v>243</v>
      </c>
    </row>
    <row r="2" spans="1:6" ht="24">
      <c r="A2" s="24" t="s">
        <v>24</v>
      </c>
    </row>
    <row r="3" spans="1:6" ht="14" customHeight="1">
      <c r="D3" s="90"/>
    </row>
    <row r="4" spans="1:6">
      <c r="D4" s="90"/>
    </row>
    <row r="5" spans="1:6">
      <c r="A5" s="89"/>
      <c r="B5" s="29" t="s">
        <v>17</v>
      </c>
      <c r="C5" s="29" t="s">
        <v>17</v>
      </c>
      <c r="F5" s="25"/>
    </row>
    <row r="6" spans="1:6">
      <c r="A6" s="81" t="s">
        <v>19</v>
      </c>
      <c r="B6" s="33"/>
      <c r="C6" s="33" t="s">
        <v>234</v>
      </c>
      <c r="F6" s="25"/>
    </row>
    <row r="7" spans="1:6">
      <c r="A7" s="25" t="s">
        <v>21</v>
      </c>
      <c r="B7" s="25">
        <f>'Activities and Events 1'!B10</f>
        <v>10000</v>
      </c>
      <c r="C7" s="193">
        <f>'Activities and Events 1'!C10</f>
        <v>10000</v>
      </c>
      <c r="F7" s="25"/>
    </row>
    <row r="8" spans="1:6">
      <c r="A8" s="25" t="s">
        <v>117</v>
      </c>
      <c r="B8" s="25">
        <f>'Activities and Events 1'!B31</f>
        <v>124000</v>
      </c>
      <c r="C8" s="27">
        <f>'Activities and Events 1'!C31</f>
        <v>123000</v>
      </c>
      <c r="F8" s="25"/>
    </row>
    <row r="9" spans="1:6">
      <c r="A9" s="25" t="s">
        <v>118</v>
      </c>
      <c r="B9" s="25">
        <f>'Activities and Events 1'!B86</f>
        <v>36250</v>
      </c>
      <c r="C9" s="27">
        <f>'Activities and Events 1'!C86</f>
        <v>36250</v>
      </c>
      <c r="F9" s="25"/>
    </row>
    <row r="10" spans="1:6">
      <c r="A10" s="25" t="s">
        <v>119</v>
      </c>
      <c r="B10" s="25">
        <f>'Activities and Events 1'!B105</f>
        <v>11000</v>
      </c>
      <c r="C10" s="27">
        <f>'Activities and Events 1'!C105</f>
        <v>11500</v>
      </c>
      <c r="F10" s="25"/>
    </row>
    <row r="11" spans="1:6">
      <c r="A11" s="25" t="s">
        <v>120</v>
      </c>
      <c r="B11" s="25">
        <f>'Activities and Events 1'!B121</f>
        <v>55000</v>
      </c>
      <c r="C11" s="27">
        <f>'Activities and Events 1'!C121</f>
        <v>58000</v>
      </c>
      <c r="F11" s="25"/>
    </row>
    <row r="12" spans="1:6">
      <c r="A12" s="25" t="s">
        <v>121</v>
      </c>
      <c r="B12" s="35">
        <f>'Activities and Events 1'!B139</f>
        <v>0</v>
      </c>
      <c r="C12" s="27">
        <v>0</v>
      </c>
      <c r="F12" s="25"/>
    </row>
    <row r="13" spans="1:6" ht="19" customHeight="1">
      <c r="A13" s="62" t="s">
        <v>34</v>
      </c>
      <c r="B13" s="110">
        <f>SUM(B7:B12)</f>
        <v>236250</v>
      </c>
      <c r="C13" s="176">
        <f>SUM(C7:C12)</f>
        <v>238750</v>
      </c>
      <c r="F13" s="25"/>
    </row>
    <row r="14" spans="1:6">
      <c r="A14" s="25"/>
      <c r="B14" s="25"/>
      <c r="C14" s="27"/>
      <c r="F14" s="25"/>
    </row>
    <row r="15" spans="1:6">
      <c r="A15" s="25"/>
      <c r="B15" s="25"/>
      <c r="C15" s="27"/>
      <c r="F15" s="25"/>
    </row>
    <row r="16" spans="1:6">
      <c r="A16" s="25"/>
      <c r="B16" s="25"/>
      <c r="C16" s="27"/>
      <c r="F16" s="25"/>
    </row>
    <row r="17" spans="1:7">
      <c r="A17" s="43" t="s">
        <v>35</v>
      </c>
      <c r="B17" s="111"/>
      <c r="C17" s="111"/>
      <c r="F17" s="25"/>
    </row>
    <row r="18" spans="1:7">
      <c r="A18" s="25" t="s">
        <v>122</v>
      </c>
      <c r="B18" s="25">
        <f>'Activities and Events 1'!B22</f>
        <v>37300</v>
      </c>
      <c r="C18" s="27">
        <f>'Activities and Events 1'!C22</f>
        <v>39300</v>
      </c>
      <c r="F18" s="25"/>
    </row>
    <row r="19" spans="1:7">
      <c r="A19" s="25" t="s">
        <v>117</v>
      </c>
      <c r="B19" s="25">
        <f>'Activities and Events 1'!B47</f>
        <v>113380</v>
      </c>
      <c r="C19" s="27">
        <f>'Activities and Events 1'!C47</f>
        <v>113380</v>
      </c>
      <c r="F19" s="25"/>
    </row>
    <row r="20" spans="1:7">
      <c r="A20" s="25" t="s">
        <v>118</v>
      </c>
      <c r="B20" s="25">
        <f>'Activities and Events 1'!B96</f>
        <v>18250</v>
      </c>
      <c r="C20" s="27">
        <f>'Activities and Events 1'!C96</f>
        <v>18250</v>
      </c>
      <c r="F20" s="25"/>
    </row>
    <row r="21" spans="1:7">
      <c r="A21" s="25" t="s">
        <v>119</v>
      </c>
      <c r="B21" s="25">
        <f>'Activities and Events 1'!B113</f>
        <v>9750</v>
      </c>
      <c r="C21" s="27">
        <f>'Activities and Events 1'!C113</f>
        <v>9750</v>
      </c>
      <c r="F21" s="25"/>
    </row>
    <row r="22" spans="1:7">
      <c r="A22" s="25" t="s">
        <v>120</v>
      </c>
      <c r="B22" s="25">
        <f>'Activities and Events 1'!B131</f>
        <v>45000</v>
      </c>
      <c r="C22" s="27">
        <f>'Activities and Events 1'!C131</f>
        <v>45500</v>
      </c>
      <c r="F22" s="25"/>
    </row>
    <row r="23" spans="1:7">
      <c r="A23" s="25" t="s">
        <v>121</v>
      </c>
      <c r="B23" s="39">
        <f>'Activities and Events 1'!B146</f>
        <v>12530</v>
      </c>
      <c r="C23" s="27">
        <f>'Activities and Events 1'!C146</f>
        <v>12530</v>
      </c>
      <c r="F23" s="25"/>
    </row>
    <row r="24" spans="1:7" ht="17" customHeight="1">
      <c r="A24" s="62" t="s">
        <v>37</v>
      </c>
      <c r="B24" s="110">
        <f>SUM(B18:B23)</f>
        <v>236210</v>
      </c>
      <c r="C24" s="176">
        <f>SUM(C18:C23)</f>
        <v>238710</v>
      </c>
      <c r="F24" s="25"/>
    </row>
    <row r="25" spans="1:7">
      <c r="A25" s="25"/>
      <c r="B25" s="164"/>
      <c r="C25" s="130"/>
      <c r="F25" s="25"/>
    </row>
    <row r="26" spans="1:7" ht="15" thickBot="1">
      <c r="A26" s="62" t="s">
        <v>232</v>
      </c>
      <c r="B26" s="152">
        <f>B13-B24</f>
        <v>40</v>
      </c>
      <c r="C26" s="178">
        <f>C13-C24</f>
        <v>40</v>
      </c>
      <c r="F26" s="25"/>
    </row>
    <row r="27" spans="1:7" ht="15" thickTop="1">
      <c r="A27" s="25"/>
      <c r="B27" s="25"/>
      <c r="C27" s="25"/>
      <c r="D27" s="27"/>
      <c r="G27" s="25"/>
    </row>
    <row r="28" spans="1:7">
      <c r="A28" s="25"/>
      <c r="B28" s="25"/>
      <c r="C28" s="25"/>
      <c r="D28" s="27"/>
      <c r="E28" s="25"/>
      <c r="F28" s="25"/>
      <c r="G28" s="25"/>
    </row>
    <row r="29" spans="1:7">
      <c r="D29" s="90"/>
    </row>
    <row r="30" spans="1:7">
      <c r="D30" s="90"/>
    </row>
    <row r="31" spans="1:7">
      <c r="D31" s="90"/>
    </row>
    <row r="32" spans="1:7">
      <c r="D32" s="90"/>
    </row>
    <row r="33" spans="4:4">
      <c r="D33" s="90"/>
    </row>
    <row r="34" spans="4:4">
      <c r="D34" s="90"/>
    </row>
    <row r="35" spans="4:4">
      <c r="D35" s="90"/>
    </row>
  </sheetData>
  <phoneticPr fontId="13" type="noConversion"/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6"/>
  <sheetViews>
    <sheetView view="pageLayout" zoomScale="125" zoomScaleNormal="125" zoomScalePageLayoutView="125" workbookViewId="0">
      <selection activeCell="A12" sqref="A12"/>
    </sheetView>
  </sheetViews>
  <sheetFormatPr baseColWidth="10" defaultColWidth="10.83203125" defaultRowHeight="14" x14ac:dyDescent="0"/>
  <cols>
    <col min="1" max="1" width="35.83203125" style="88" customWidth="1"/>
    <col min="2" max="2" width="16.1640625" style="88" customWidth="1"/>
    <col min="3" max="3" width="16" style="88" customWidth="1"/>
    <col min="4" max="4" width="15.33203125" style="88" customWidth="1"/>
    <col min="5" max="5" width="15" style="88" customWidth="1"/>
    <col min="6" max="6" width="17.5" style="88" customWidth="1"/>
    <col min="7" max="8" width="10.83203125" style="88" customWidth="1"/>
    <col min="9" max="9" width="23.1640625" style="88" customWidth="1"/>
    <col min="10" max="11" width="18.5" style="88" customWidth="1"/>
    <col min="12" max="12" width="17" style="88" customWidth="1"/>
    <col min="13" max="13" width="19.6640625" style="88" customWidth="1"/>
    <col min="14" max="14" width="16.83203125" style="88" customWidth="1"/>
    <col min="15" max="16384" width="10.83203125" style="88"/>
  </cols>
  <sheetData>
    <row r="1" spans="1:13" ht="24">
      <c r="A1" s="24" t="s">
        <v>243</v>
      </c>
      <c r="F1" s="173"/>
      <c r="G1" s="173"/>
      <c r="H1" s="173"/>
      <c r="I1" s="173"/>
      <c r="J1" s="173"/>
      <c r="K1" s="173"/>
      <c r="L1" s="173"/>
      <c r="M1" s="173"/>
    </row>
    <row r="2" spans="1:13" ht="24">
      <c r="A2" s="26" t="s">
        <v>24</v>
      </c>
      <c r="F2" s="173"/>
      <c r="G2" s="173"/>
      <c r="H2" s="173"/>
      <c r="I2" s="173"/>
      <c r="J2" s="173"/>
      <c r="K2" s="173"/>
      <c r="L2" s="173"/>
      <c r="M2" s="173"/>
    </row>
    <row r="3" spans="1:13">
      <c r="F3" s="173"/>
      <c r="G3" s="173"/>
      <c r="H3" s="173"/>
      <c r="I3" s="173"/>
      <c r="J3" s="173"/>
      <c r="K3" s="173"/>
      <c r="L3" s="173"/>
      <c r="M3" s="173"/>
    </row>
    <row r="4" spans="1:13">
      <c r="F4" s="173"/>
      <c r="G4" s="173"/>
      <c r="H4" s="173"/>
      <c r="I4" s="173"/>
      <c r="J4" s="173"/>
      <c r="K4" s="173"/>
      <c r="L4" s="173"/>
      <c r="M4" s="173"/>
    </row>
    <row r="5" spans="1:13">
      <c r="F5" s="173"/>
      <c r="G5" s="173"/>
      <c r="H5" s="173"/>
      <c r="I5" s="173"/>
      <c r="J5" s="173"/>
      <c r="K5" s="173"/>
      <c r="L5" s="173"/>
      <c r="M5" s="173"/>
    </row>
    <row r="6" spans="1:13" ht="22" customHeight="1">
      <c r="A6" s="89" t="s">
        <v>83</v>
      </c>
      <c r="B6" s="29" t="s">
        <v>17</v>
      </c>
      <c r="C6" s="29" t="s">
        <v>17</v>
      </c>
      <c r="D6" s="90"/>
      <c r="E6" s="173"/>
      <c r="F6" s="173"/>
      <c r="G6" s="173"/>
      <c r="H6" s="173"/>
      <c r="I6" s="173"/>
      <c r="J6" s="173"/>
      <c r="K6" s="173"/>
      <c r="L6" s="173"/>
      <c r="M6" s="92"/>
    </row>
    <row r="7" spans="1:13">
      <c r="A7" s="81" t="s">
        <v>19</v>
      </c>
      <c r="B7" s="33" t="s">
        <v>20</v>
      </c>
      <c r="C7" s="33" t="s">
        <v>234</v>
      </c>
      <c r="D7" s="90"/>
      <c r="E7" s="173"/>
      <c r="F7" s="173"/>
      <c r="G7" s="173"/>
      <c r="H7" s="173"/>
      <c r="I7" s="173"/>
      <c r="J7" s="173"/>
      <c r="K7" s="173"/>
      <c r="L7" s="173"/>
      <c r="M7" s="92"/>
    </row>
    <row r="8" spans="1:13">
      <c r="A8" s="34" t="s">
        <v>84</v>
      </c>
      <c r="B8" s="35">
        <v>10000</v>
      </c>
      <c r="C8" s="27">
        <v>10000</v>
      </c>
      <c r="D8" s="90"/>
      <c r="E8" s="173"/>
      <c r="F8" s="173"/>
      <c r="G8" s="173"/>
      <c r="H8" s="173"/>
      <c r="I8" s="173"/>
      <c r="J8" s="173"/>
      <c r="K8" s="173"/>
      <c r="L8" s="173"/>
      <c r="M8" s="90"/>
    </row>
    <row r="9" spans="1:13">
      <c r="A9" s="34"/>
      <c r="B9" s="39"/>
      <c r="C9" s="27"/>
      <c r="D9" s="90"/>
      <c r="E9" s="173"/>
      <c r="F9" s="173"/>
      <c r="G9" s="173"/>
      <c r="H9" s="173"/>
      <c r="I9" s="173"/>
      <c r="J9" s="173"/>
      <c r="K9" s="173"/>
      <c r="L9" s="173"/>
      <c r="M9" s="90"/>
    </row>
    <row r="10" spans="1:13">
      <c r="A10" s="40" t="s">
        <v>34</v>
      </c>
      <c r="B10" s="41">
        <f>B8</f>
        <v>10000</v>
      </c>
      <c r="C10" s="183">
        <f>SUM(C8:C9)</f>
        <v>10000</v>
      </c>
      <c r="D10" s="90"/>
      <c r="E10" s="173"/>
      <c r="F10" s="173"/>
      <c r="G10" s="173"/>
      <c r="H10" s="173"/>
      <c r="I10" s="173"/>
      <c r="J10" s="173"/>
      <c r="K10" s="173"/>
      <c r="L10" s="173"/>
      <c r="M10" s="90"/>
    </row>
    <row r="11" spans="1:13">
      <c r="A11" s="34"/>
      <c r="B11" s="35"/>
      <c r="C11" s="27"/>
      <c r="D11" s="90"/>
      <c r="E11" s="173"/>
      <c r="F11" s="173"/>
      <c r="G11" s="173"/>
      <c r="H11" s="173"/>
      <c r="I11" s="173"/>
      <c r="J11" s="173"/>
      <c r="K11" s="173"/>
      <c r="L11" s="173"/>
      <c r="M11" s="90"/>
    </row>
    <row r="12" spans="1:13">
      <c r="A12" s="34"/>
      <c r="B12" s="35"/>
      <c r="C12" s="27"/>
      <c r="D12" s="90"/>
      <c r="E12" s="173"/>
      <c r="F12" s="173"/>
      <c r="G12" s="173"/>
      <c r="H12" s="173"/>
      <c r="I12" s="173"/>
      <c r="J12" s="173"/>
      <c r="K12" s="173"/>
      <c r="L12" s="173"/>
      <c r="M12" s="90"/>
    </row>
    <row r="13" spans="1:13">
      <c r="A13" s="35"/>
      <c r="B13" s="61"/>
      <c r="C13" s="82"/>
      <c r="D13" s="90"/>
      <c r="E13" s="173"/>
      <c r="F13" s="173"/>
      <c r="G13" s="173"/>
      <c r="H13" s="173"/>
      <c r="I13" s="173"/>
      <c r="J13" s="173"/>
      <c r="K13" s="173"/>
      <c r="L13" s="173"/>
      <c r="M13" s="100"/>
    </row>
    <row r="14" spans="1:13">
      <c r="A14" s="43" t="s">
        <v>35</v>
      </c>
      <c r="B14" s="83"/>
      <c r="C14" s="83"/>
      <c r="D14" s="90"/>
      <c r="E14" s="173"/>
      <c r="F14" s="173"/>
      <c r="G14" s="173"/>
      <c r="H14" s="173"/>
      <c r="I14" s="173"/>
      <c r="J14" s="173"/>
      <c r="K14" s="173"/>
      <c r="L14" s="173"/>
      <c r="M14" s="100"/>
    </row>
    <row r="15" spans="1:13">
      <c r="A15" s="34" t="s">
        <v>86</v>
      </c>
      <c r="B15" s="34">
        <v>21000</v>
      </c>
      <c r="C15" s="27">
        <v>21000</v>
      </c>
      <c r="D15" s="90"/>
      <c r="E15" s="173"/>
      <c r="F15" s="173"/>
      <c r="G15" s="173"/>
      <c r="H15" s="173"/>
      <c r="I15" s="173"/>
      <c r="J15" s="173"/>
      <c r="K15" s="173"/>
      <c r="L15" s="173"/>
      <c r="M15" s="90"/>
    </row>
    <row r="16" spans="1:13">
      <c r="A16" s="34" t="s">
        <v>87</v>
      </c>
      <c r="B16" s="34">
        <v>7000</v>
      </c>
      <c r="C16" s="27">
        <v>7000</v>
      </c>
      <c r="D16" s="90"/>
      <c r="E16" s="173"/>
      <c r="F16" s="173"/>
      <c r="G16" s="173"/>
      <c r="H16" s="173"/>
      <c r="I16" s="173"/>
      <c r="J16" s="173"/>
      <c r="K16" s="173"/>
      <c r="L16" s="173"/>
      <c r="M16" s="90"/>
    </row>
    <row r="17" spans="1:13">
      <c r="A17" s="34" t="s">
        <v>88</v>
      </c>
      <c r="B17" s="34">
        <v>500</v>
      </c>
      <c r="C17" s="27">
        <v>2500</v>
      </c>
      <c r="D17" s="90"/>
      <c r="E17" s="173"/>
      <c r="F17" s="173"/>
      <c r="G17" s="173"/>
      <c r="H17" s="173"/>
      <c r="I17" s="173"/>
      <c r="J17" s="173"/>
      <c r="K17" s="173"/>
      <c r="L17" s="173"/>
      <c r="M17" s="90"/>
    </row>
    <row r="18" spans="1:13">
      <c r="A18" s="34" t="s">
        <v>90</v>
      </c>
      <c r="B18" s="34">
        <v>300</v>
      </c>
      <c r="C18" s="27">
        <v>300</v>
      </c>
      <c r="D18" s="90"/>
      <c r="E18" s="173"/>
      <c r="F18" s="173"/>
      <c r="G18" s="173"/>
      <c r="H18" s="173"/>
      <c r="I18" s="173"/>
      <c r="J18" s="173"/>
      <c r="K18" s="173"/>
      <c r="L18" s="173"/>
      <c r="M18" s="90"/>
    </row>
    <row r="19" spans="1:13">
      <c r="A19" s="34" t="s">
        <v>91</v>
      </c>
      <c r="B19" s="34">
        <v>500</v>
      </c>
      <c r="C19" s="27">
        <v>500</v>
      </c>
      <c r="D19" s="90"/>
      <c r="E19" s="173"/>
      <c r="F19" s="173"/>
      <c r="G19" s="173"/>
      <c r="H19" s="173"/>
      <c r="I19" s="173"/>
      <c r="J19" s="173"/>
      <c r="K19" s="173"/>
      <c r="L19" s="173"/>
      <c r="M19" s="90"/>
    </row>
    <row r="20" spans="1:13">
      <c r="A20" s="34" t="s">
        <v>92</v>
      </c>
      <c r="B20" s="36">
        <v>5000</v>
      </c>
      <c r="C20" s="27">
        <v>5000</v>
      </c>
      <c r="D20" s="90"/>
      <c r="E20" s="173"/>
      <c r="F20" s="173"/>
      <c r="G20" s="173"/>
      <c r="H20" s="173"/>
      <c r="I20" s="173"/>
      <c r="J20" s="173"/>
      <c r="K20" s="173"/>
      <c r="L20" s="173"/>
      <c r="M20" s="90"/>
    </row>
    <row r="21" spans="1:13">
      <c r="A21" s="36" t="s">
        <v>64</v>
      </c>
      <c r="B21" s="47">
        <v>3000</v>
      </c>
      <c r="C21" s="27">
        <v>3000</v>
      </c>
      <c r="D21" s="90"/>
      <c r="E21" s="173"/>
      <c r="F21" s="173"/>
      <c r="G21" s="173"/>
      <c r="H21" s="173"/>
      <c r="I21" s="173"/>
      <c r="J21" s="173"/>
      <c r="K21" s="173"/>
      <c r="L21" s="173"/>
      <c r="M21" s="90"/>
    </row>
    <row r="22" spans="1:13" ht="20" customHeight="1">
      <c r="A22" s="40" t="s">
        <v>37</v>
      </c>
      <c r="B22" s="134">
        <f>SUM(B15:B21)</f>
        <v>37300</v>
      </c>
      <c r="C22" s="179">
        <f>SUM(C15:C21)</f>
        <v>39300</v>
      </c>
      <c r="D22" s="90"/>
      <c r="E22" s="173"/>
      <c r="F22" s="173"/>
      <c r="G22" s="173"/>
      <c r="H22" s="173"/>
      <c r="I22" s="173"/>
      <c r="J22" s="173"/>
      <c r="K22" s="173"/>
      <c r="L22" s="173"/>
      <c r="M22" s="90"/>
    </row>
    <row r="23" spans="1:13">
      <c r="A23" s="49"/>
      <c r="B23" s="41"/>
      <c r="C23" s="89"/>
      <c r="D23" s="90"/>
      <c r="E23" s="173"/>
      <c r="F23" s="173"/>
      <c r="G23" s="173"/>
      <c r="H23" s="173"/>
      <c r="I23" s="173"/>
      <c r="J23" s="173"/>
      <c r="K23" s="173"/>
      <c r="L23" s="173"/>
      <c r="M23" s="90"/>
    </row>
    <row r="24" spans="1:13" ht="18" customHeight="1" thickBot="1">
      <c r="A24" s="40" t="s">
        <v>240</v>
      </c>
      <c r="B24" s="63">
        <f>B10-B22</f>
        <v>-27300</v>
      </c>
      <c r="C24" s="180">
        <f>C10-C22</f>
        <v>-29300</v>
      </c>
      <c r="D24" s="90"/>
      <c r="E24" s="173"/>
      <c r="F24" s="173"/>
      <c r="G24" s="173"/>
      <c r="H24" s="173"/>
      <c r="I24" s="173"/>
      <c r="J24" s="173"/>
      <c r="K24" s="173"/>
      <c r="L24" s="173"/>
      <c r="M24" s="90"/>
    </row>
    <row r="25" spans="1:13" ht="15" thickTop="1">
      <c r="A25" s="25"/>
      <c r="B25" s="25"/>
      <c r="C25" s="27"/>
      <c r="D25" s="90"/>
      <c r="E25" s="173"/>
      <c r="F25" s="173"/>
      <c r="G25" s="173"/>
      <c r="H25" s="173"/>
      <c r="I25" s="173"/>
      <c r="J25" s="173"/>
      <c r="K25" s="173"/>
      <c r="L25" s="173"/>
      <c r="M25" s="90"/>
    </row>
    <row r="26" spans="1:13">
      <c r="A26" s="25"/>
      <c r="B26" s="25"/>
      <c r="C26" s="27"/>
      <c r="D26" s="90"/>
      <c r="E26" s="173"/>
      <c r="F26" s="173"/>
      <c r="G26" s="173"/>
      <c r="H26" s="173"/>
      <c r="I26" s="173"/>
      <c r="J26" s="173"/>
      <c r="K26" s="173"/>
      <c r="L26" s="173"/>
      <c r="M26" s="90"/>
    </row>
    <row r="27" spans="1:13">
      <c r="A27" s="89" t="s">
        <v>93</v>
      </c>
      <c r="B27" s="103" t="s">
        <v>17</v>
      </c>
      <c r="C27" s="103" t="s">
        <v>17</v>
      </c>
      <c r="D27" s="90"/>
      <c r="E27" s="173"/>
      <c r="F27" s="173"/>
      <c r="G27" s="173"/>
      <c r="H27" s="173"/>
      <c r="I27" s="173"/>
      <c r="J27" s="173"/>
      <c r="K27" s="173"/>
      <c r="L27" s="173"/>
      <c r="M27" s="90"/>
    </row>
    <row r="28" spans="1:13">
      <c r="A28" s="104" t="s">
        <v>19</v>
      </c>
      <c r="B28" s="105" t="s">
        <v>20</v>
      </c>
      <c r="C28" s="105" t="s">
        <v>234</v>
      </c>
      <c r="D28" s="90"/>
      <c r="E28" s="173"/>
      <c r="F28" s="173"/>
      <c r="G28" s="173"/>
      <c r="H28" s="173"/>
      <c r="I28" s="173"/>
      <c r="J28" s="173"/>
      <c r="K28" s="173"/>
      <c r="L28" s="173"/>
      <c r="M28" s="90"/>
    </row>
    <row r="29" spans="1:13">
      <c r="A29" s="34" t="s">
        <v>94</v>
      </c>
      <c r="B29" s="35">
        <v>100000</v>
      </c>
      <c r="C29" s="27">
        <v>105000</v>
      </c>
      <c r="D29" s="90"/>
      <c r="E29" s="173"/>
      <c r="F29" s="173"/>
      <c r="G29" s="173"/>
      <c r="H29" s="173"/>
      <c r="I29" s="173"/>
      <c r="J29" s="173"/>
      <c r="K29" s="173"/>
      <c r="L29" s="173"/>
      <c r="M29" s="90"/>
    </row>
    <row r="30" spans="1:13" ht="14" customHeight="1">
      <c r="A30" s="34" t="s">
        <v>95</v>
      </c>
      <c r="B30" s="39">
        <v>24000</v>
      </c>
      <c r="C30" s="27">
        <v>18000</v>
      </c>
      <c r="D30" s="90"/>
      <c r="E30" s="173"/>
      <c r="F30" s="173"/>
      <c r="G30" s="173"/>
      <c r="H30" s="173"/>
      <c r="I30" s="173"/>
      <c r="J30" s="173"/>
      <c r="K30" s="173"/>
      <c r="L30" s="173"/>
      <c r="M30" s="90"/>
    </row>
    <row r="31" spans="1:13" ht="22" customHeight="1">
      <c r="A31" s="40" t="s">
        <v>34</v>
      </c>
      <c r="B31" s="110">
        <f>SUM(B29:B30)</f>
        <v>124000</v>
      </c>
      <c r="C31" s="176">
        <f>SUM(C29:C30)</f>
        <v>123000</v>
      </c>
      <c r="D31" s="90"/>
      <c r="E31" s="173"/>
      <c r="F31" s="173"/>
      <c r="G31" s="173"/>
      <c r="H31" s="173"/>
      <c r="I31" s="173"/>
      <c r="J31" s="173"/>
      <c r="K31" s="173"/>
      <c r="L31" s="173"/>
      <c r="M31" s="92"/>
    </row>
    <row r="32" spans="1:13">
      <c r="A32" s="34"/>
      <c r="B32" s="35"/>
      <c r="C32" s="27"/>
      <c r="D32" s="90"/>
      <c r="E32" s="173"/>
      <c r="F32" s="173"/>
      <c r="G32" s="173"/>
      <c r="H32" s="173"/>
      <c r="I32" s="173"/>
      <c r="J32" s="173"/>
      <c r="K32" s="173"/>
      <c r="L32" s="173"/>
      <c r="M32" s="92"/>
    </row>
    <row r="33" spans="1:13">
      <c r="A33" s="34"/>
      <c r="B33" s="35"/>
      <c r="C33" s="27"/>
      <c r="D33" s="90"/>
      <c r="E33" s="173"/>
      <c r="F33" s="173"/>
      <c r="G33" s="173"/>
      <c r="H33" s="173"/>
      <c r="I33" s="173"/>
      <c r="J33" s="173"/>
      <c r="K33" s="173"/>
      <c r="L33" s="173"/>
      <c r="M33" s="90"/>
    </row>
    <row r="34" spans="1:13">
      <c r="A34" s="27"/>
      <c r="B34" s="61"/>
      <c r="C34" s="82"/>
      <c r="D34" s="90"/>
      <c r="E34" s="173"/>
      <c r="F34" s="173"/>
      <c r="G34" s="173"/>
      <c r="H34" s="173"/>
      <c r="I34" s="173"/>
      <c r="J34" s="173"/>
      <c r="K34" s="173"/>
      <c r="L34" s="173"/>
      <c r="M34" s="90"/>
    </row>
    <row r="35" spans="1:13">
      <c r="A35" s="107" t="s">
        <v>35</v>
      </c>
      <c r="B35" s="108"/>
      <c r="C35" s="108"/>
      <c r="D35" s="90"/>
      <c r="E35" s="173"/>
      <c r="F35" s="173"/>
      <c r="G35" s="173"/>
      <c r="H35" s="173"/>
      <c r="I35" s="173"/>
      <c r="J35" s="173"/>
      <c r="K35" s="173"/>
      <c r="L35" s="173"/>
      <c r="M35" s="90"/>
    </row>
    <row r="36" spans="1:13">
      <c r="A36" s="25" t="s">
        <v>86</v>
      </c>
      <c r="B36" s="25">
        <v>37000</v>
      </c>
      <c r="C36" s="27">
        <v>37000</v>
      </c>
      <c r="D36" s="90"/>
      <c r="E36" s="173"/>
      <c r="F36" s="173"/>
      <c r="G36" s="173"/>
      <c r="H36" s="173"/>
      <c r="I36" s="173"/>
      <c r="J36" s="173"/>
      <c r="K36" s="173"/>
      <c r="L36" s="173"/>
      <c r="M36" s="90"/>
    </row>
    <row r="37" spans="1:13">
      <c r="A37" s="25" t="s">
        <v>87</v>
      </c>
      <c r="B37" s="25">
        <v>17000</v>
      </c>
      <c r="C37" s="27">
        <v>17000</v>
      </c>
      <c r="D37" s="90"/>
      <c r="E37" s="173"/>
      <c r="F37" s="173"/>
      <c r="G37" s="173"/>
      <c r="H37" s="173"/>
      <c r="I37" s="173"/>
      <c r="J37" s="173"/>
      <c r="K37" s="173"/>
      <c r="L37" s="173"/>
      <c r="M37" s="90"/>
    </row>
    <row r="38" spans="1:13">
      <c r="A38" s="25" t="s">
        <v>88</v>
      </c>
      <c r="B38" s="25">
        <v>8000</v>
      </c>
      <c r="C38" s="27">
        <v>8000</v>
      </c>
      <c r="D38" s="90"/>
      <c r="E38" s="173"/>
      <c r="F38" s="173"/>
      <c r="G38" s="173"/>
      <c r="H38" s="173"/>
      <c r="I38" s="173"/>
      <c r="J38" s="173"/>
      <c r="K38" s="173"/>
      <c r="L38" s="173"/>
      <c r="M38" s="100"/>
    </row>
    <row r="39" spans="1:13">
      <c r="A39" s="25" t="s">
        <v>96</v>
      </c>
      <c r="B39" s="25">
        <v>32000</v>
      </c>
      <c r="C39" s="27">
        <v>32000</v>
      </c>
      <c r="D39" s="90"/>
      <c r="E39" s="173"/>
      <c r="F39" s="173"/>
      <c r="G39" s="173"/>
      <c r="H39" s="173"/>
      <c r="I39" s="173"/>
      <c r="J39" s="173"/>
      <c r="K39" s="173"/>
      <c r="L39" s="173"/>
      <c r="M39" s="100"/>
    </row>
    <row r="40" spans="1:13">
      <c r="A40" s="25" t="s">
        <v>97</v>
      </c>
      <c r="B40" s="25">
        <v>500</v>
      </c>
      <c r="C40" s="27">
        <v>500</v>
      </c>
      <c r="D40" s="90"/>
      <c r="E40" s="173"/>
      <c r="F40" s="173"/>
      <c r="G40" s="173"/>
      <c r="H40" s="173"/>
      <c r="I40" s="173"/>
      <c r="J40" s="173"/>
      <c r="K40" s="173"/>
      <c r="L40" s="173"/>
      <c r="M40" s="90"/>
    </row>
    <row r="41" spans="1:13">
      <c r="A41" s="25" t="s">
        <v>98</v>
      </c>
      <c r="B41" s="25">
        <v>1000</v>
      </c>
      <c r="C41" s="27">
        <v>1000</v>
      </c>
      <c r="D41" s="90"/>
      <c r="E41" s="173"/>
      <c r="F41" s="173"/>
      <c r="G41" s="173"/>
      <c r="H41" s="173"/>
      <c r="I41" s="173"/>
      <c r="J41" s="173"/>
      <c r="K41" s="173"/>
      <c r="L41" s="173"/>
      <c r="M41" s="90"/>
    </row>
    <row r="42" spans="1:13">
      <c r="A42" s="25" t="s">
        <v>91</v>
      </c>
      <c r="B42" s="25">
        <v>10000</v>
      </c>
      <c r="C42" s="27">
        <v>10000</v>
      </c>
      <c r="D42" s="90"/>
      <c r="E42" s="173"/>
      <c r="F42" s="173"/>
      <c r="G42" s="173"/>
      <c r="H42" s="173"/>
      <c r="I42" s="173"/>
      <c r="J42" s="173"/>
      <c r="K42" s="173"/>
      <c r="L42" s="173"/>
      <c r="M42" s="90"/>
    </row>
    <row r="43" spans="1:13">
      <c r="A43" s="25" t="s">
        <v>99</v>
      </c>
      <c r="B43" s="25">
        <v>780</v>
      </c>
      <c r="C43" s="27">
        <v>780</v>
      </c>
      <c r="D43" s="90"/>
      <c r="E43" s="173"/>
      <c r="F43" s="173"/>
      <c r="G43" s="173"/>
      <c r="H43" s="173"/>
      <c r="I43" s="173"/>
      <c r="J43" s="173"/>
      <c r="K43" s="173"/>
      <c r="L43" s="173"/>
      <c r="M43" s="90"/>
    </row>
    <row r="44" spans="1:13">
      <c r="A44" s="25" t="s">
        <v>100</v>
      </c>
      <c r="B44" s="25">
        <v>2500</v>
      </c>
      <c r="C44" s="27">
        <v>2500</v>
      </c>
      <c r="D44" s="90"/>
      <c r="E44" s="173"/>
      <c r="F44" s="173"/>
      <c r="G44" s="173"/>
      <c r="H44" s="173"/>
      <c r="I44" s="173"/>
      <c r="J44" s="173"/>
      <c r="K44" s="173"/>
      <c r="L44" s="173"/>
      <c r="M44" s="90"/>
    </row>
    <row r="45" spans="1:13">
      <c r="A45" s="25" t="s">
        <v>101</v>
      </c>
      <c r="B45" s="25">
        <v>600</v>
      </c>
      <c r="C45" s="27">
        <v>600</v>
      </c>
      <c r="D45" s="90"/>
      <c r="E45" s="173"/>
      <c r="F45" s="173"/>
      <c r="G45" s="173"/>
      <c r="H45" s="173"/>
      <c r="I45" s="173"/>
      <c r="J45" s="173"/>
      <c r="K45" s="173"/>
      <c r="L45" s="173"/>
      <c r="M45" s="90"/>
    </row>
    <row r="46" spans="1:13">
      <c r="A46" s="25" t="s">
        <v>102</v>
      </c>
      <c r="B46" s="39">
        <v>4000</v>
      </c>
      <c r="C46" s="27">
        <v>4000</v>
      </c>
      <c r="D46" s="90"/>
      <c r="E46" s="173"/>
      <c r="F46" s="173"/>
      <c r="G46" s="173"/>
      <c r="H46" s="173"/>
      <c r="I46" s="173"/>
      <c r="J46" s="173"/>
      <c r="K46" s="173"/>
      <c r="L46" s="173"/>
      <c r="M46" s="90"/>
    </row>
    <row r="47" spans="1:13" ht="20" customHeight="1">
      <c r="A47" s="62" t="s">
        <v>37</v>
      </c>
      <c r="B47" s="134">
        <f>SUM(B36:B46)</f>
        <v>113380</v>
      </c>
      <c r="C47" s="176">
        <f>SUM(C36:C46)</f>
        <v>113380</v>
      </c>
      <c r="D47" s="90"/>
      <c r="E47" s="173"/>
      <c r="F47" s="173"/>
      <c r="G47" s="173"/>
      <c r="H47" s="173"/>
      <c r="I47" s="173"/>
      <c r="J47" s="173"/>
      <c r="K47" s="173"/>
      <c r="L47" s="173"/>
      <c r="M47" s="90"/>
    </row>
    <row r="48" spans="1:13">
      <c r="A48" s="25"/>
      <c r="B48" s="164"/>
      <c r="C48" s="130"/>
      <c r="D48" s="90"/>
      <c r="E48" s="173"/>
      <c r="F48" s="173"/>
      <c r="G48" s="173"/>
      <c r="H48" s="173"/>
      <c r="I48" s="173"/>
      <c r="J48" s="173"/>
      <c r="K48" s="173"/>
      <c r="L48" s="173"/>
      <c r="M48" s="90"/>
    </row>
    <row r="49" spans="1:13" ht="15" thickBot="1">
      <c r="A49" s="62" t="s">
        <v>239</v>
      </c>
      <c r="B49" s="152">
        <f>B31-B47</f>
        <v>10620</v>
      </c>
      <c r="C49" s="178">
        <f>C31-C47</f>
        <v>9620</v>
      </c>
      <c r="D49" s="90"/>
      <c r="E49" s="173"/>
      <c r="F49" s="173"/>
      <c r="G49" s="173"/>
      <c r="H49" s="173"/>
      <c r="I49" s="173"/>
      <c r="J49" s="173"/>
      <c r="K49" s="173"/>
      <c r="L49" s="173"/>
      <c r="M49" s="90"/>
    </row>
    <row r="50" spans="1:13" ht="15" thickTop="1">
      <c r="A50" s="62"/>
      <c r="B50" s="41"/>
      <c r="C50" s="130"/>
      <c r="D50" s="90"/>
      <c r="E50" s="173"/>
      <c r="F50" s="173"/>
      <c r="G50" s="173"/>
      <c r="H50" s="173"/>
      <c r="I50" s="173"/>
      <c r="J50" s="173"/>
      <c r="K50" s="173"/>
      <c r="L50" s="173"/>
      <c r="M50" s="90"/>
    </row>
    <row r="51" spans="1:13">
      <c r="A51" s="62"/>
      <c r="B51" s="41"/>
      <c r="C51" s="130"/>
      <c r="D51" s="90"/>
      <c r="E51" s="173"/>
      <c r="F51" s="173"/>
      <c r="G51" s="173"/>
      <c r="H51" s="173"/>
      <c r="I51" s="173"/>
      <c r="J51" s="173"/>
      <c r="K51" s="173"/>
      <c r="L51" s="173"/>
      <c r="M51" s="90"/>
    </row>
    <row r="52" spans="1:13">
      <c r="A52" s="62"/>
      <c r="B52" s="41"/>
      <c r="C52" s="130"/>
      <c r="D52" s="90"/>
      <c r="E52" s="173"/>
      <c r="F52" s="173"/>
      <c r="G52" s="173"/>
      <c r="H52" s="173"/>
      <c r="I52" s="173"/>
      <c r="J52" s="173"/>
      <c r="K52" s="173"/>
      <c r="L52" s="173"/>
      <c r="M52" s="90"/>
    </row>
    <row r="53" spans="1:13">
      <c r="A53" s="62"/>
      <c r="B53" s="41"/>
      <c r="C53" s="130"/>
      <c r="D53" s="90"/>
      <c r="E53" s="173"/>
      <c r="F53" s="173"/>
      <c r="G53" s="173"/>
      <c r="H53" s="173"/>
      <c r="I53" s="173"/>
      <c r="J53" s="173"/>
      <c r="K53" s="173"/>
      <c r="L53" s="173"/>
      <c r="M53" s="90"/>
    </row>
    <row r="54" spans="1:13">
      <c r="A54" s="25"/>
      <c r="B54" s="25"/>
      <c r="C54" s="25"/>
      <c r="D54" s="90"/>
      <c r="E54" s="173"/>
      <c r="F54" s="173"/>
      <c r="G54" s="173"/>
      <c r="H54" s="173"/>
      <c r="I54" s="173"/>
      <c r="J54" s="173"/>
      <c r="K54" s="173"/>
      <c r="L54" s="173"/>
      <c r="M54" s="90"/>
    </row>
    <row r="55" spans="1:13">
      <c r="A55" s="25"/>
      <c r="B55" s="25"/>
      <c r="C55" s="25"/>
      <c r="D55" s="90"/>
      <c r="E55" s="173"/>
      <c r="F55" s="173"/>
      <c r="G55" s="173"/>
      <c r="H55" s="173"/>
      <c r="I55" s="173"/>
      <c r="J55" s="173"/>
      <c r="K55" s="173"/>
      <c r="L55" s="173"/>
      <c r="M55" s="90"/>
    </row>
    <row r="56" spans="1:13">
      <c r="A56" s="25"/>
      <c r="B56" s="25"/>
      <c r="C56" s="25"/>
      <c r="D56" s="90"/>
      <c r="E56" s="173"/>
      <c r="F56" s="173"/>
      <c r="G56" s="173"/>
      <c r="H56" s="173"/>
      <c r="I56" s="173"/>
      <c r="J56" s="173"/>
      <c r="K56" s="173"/>
      <c r="L56" s="173"/>
      <c r="M56" s="90"/>
    </row>
    <row r="57" spans="1:13">
      <c r="A57" s="25"/>
      <c r="B57" s="25"/>
      <c r="C57" s="25"/>
      <c r="D57" s="90"/>
      <c r="E57" s="173"/>
      <c r="F57" s="173"/>
      <c r="G57" s="173"/>
      <c r="H57" s="173"/>
      <c r="I57" s="173"/>
      <c r="J57" s="173"/>
      <c r="K57" s="173"/>
      <c r="L57" s="173"/>
      <c r="M57" s="90"/>
    </row>
    <row r="58" spans="1:13">
      <c r="A58" s="25"/>
      <c r="B58" s="25"/>
      <c r="C58" s="25"/>
      <c r="D58" s="90"/>
      <c r="E58" s="173"/>
      <c r="F58" s="173"/>
      <c r="G58" s="173"/>
      <c r="H58" s="173"/>
      <c r="I58" s="173"/>
      <c r="J58" s="173"/>
      <c r="K58" s="173"/>
      <c r="L58" s="173"/>
      <c r="M58" s="90"/>
    </row>
    <row r="59" spans="1:13">
      <c r="A59" s="25"/>
      <c r="B59" s="25"/>
      <c r="C59" s="25"/>
      <c r="D59" s="90"/>
      <c r="E59" s="173"/>
      <c r="F59" s="173"/>
      <c r="G59" s="173"/>
      <c r="H59" s="173"/>
      <c r="I59" s="173"/>
      <c r="J59" s="173"/>
      <c r="K59" s="173"/>
      <c r="L59" s="173"/>
      <c r="M59" s="90"/>
    </row>
    <row r="60" spans="1:13">
      <c r="A60" s="25"/>
      <c r="B60" s="25"/>
      <c r="C60" s="25"/>
      <c r="D60" s="90"/>
      <c r="E60" s="173"/>
      <c r="F60" s="173"/>
      <c r="G60" s="173"/>
      <c r="H60" s="173"/>
      <c r="I60" s="173"/>
      <c r="J60" s="173"/>
      <c r="K60" s="173"/>
      <c r="L60" s="173"/>
      <c r="M60" s="90"/>
    </row>
    <row r="61" spans="1:13">
      <c r="A61" s="25"/>
      <c r="B61" s="25"/>
      <c r="C61" s="25"/>
      <c r="D61" s="90"/>
      <c r="E61" s="173"/>
      <c r="F61" s="173"/>
      <c r="G61" s="173"/>
      <c r="H61" s="173"/>
      <c r="I61" s="173"/>
      <c r="J61" s="173"/>
      <c r="K61" s="173"/>
      <c r="L61" s="173"/>
      <c r="M61" s="90"/>
    </row>
    <row r="62" spans="1:13">
      <c r="A62" s="25"/>
      <c r="B62" s="25"/>
      <c r="C62" s="25"/>
      <c r="D62" s="90"/>
      <c r="E62" s="173"/>
      <c r="F62" s="173"/>
      <c r="G62" s="173"/>
      <c r="H62" s="173"/>
      <c r="I62" s="173"/>
      <c r="J62" s="173"/>
      <c r="K62" s="173"/>
      <c r="L62" s="173"/>
      <c r="M62" s="90"/>
    </row>
    <row r="63" spans="1:13">
      <c r="A63" s="25"/>
      <c r="B63" s="25"/>
      <c r="C63" s="25"/>
      <c r="D63" s="90"/>
      <c r="E63" s="173"/>
      <c r="F63" s="173"/>
      <c r="G63" s="173"/>
      <c r="H63" s="173"/>
      <c r="I63" s="173"/>
      <c r="J63" s="173"/>
      <c r="K63" s="173"/>
      <c r="L63" s="173"/>
      <c r="M63" s="90"/>
    </row>
    <row r="64" spans="1:13">
      <c r="A64" s="25"/>
      <c r="B64" s="25"/>
      <c r="C64" s="25"/>
      <c r="D64" s="90"/>
      <c r="E64" s="173"/>
      <c r="F64" s="173"/>
      <c r="G64" s="173"/>
      <c r="H64" s="173"/>
      <c r="I64" s="173"/>
      <c r="J64" s="173"/>
      <c r="K64" s="173"/>
      <c r="L64" s="173"/>
      <c r="M64" s="90"/>
    </row>
    <row r="65" spans="1:13">
      <c r="A65" s="25"/>
      <c r="B65" s="25"/>
      <c r="C65" s="25"/>
      <c r="D65" s="90"/>
      <c r="E65" s="173"/>
      <c r="F65" s="173"/>
      <c r="G65" s="173"/>
      <c r="H65" s="173"/>
      <c r="I65" s="173"/>
      <c r="J65" s="173"/>
      <c r="K65" s="173"/>
      <c r="L65" s="173"/>
      <c r="M65" s="90"/>
    </row>
    <row r="66" spans="1:13">
      <c r="A66" s="25"/>
      <c r="B66" s="25"/>
      <c r="C66" s="25"/>
      <c r="D66" s="90"/>
      <c r="E66" s="173"/>
      <c r="F66" s="173"/>
      <c r="G66" s="173"/>
      <c r="H66" s="173"/>
      <c r="I66" s="173"/>
      <c r="J66" s="173"/>
      <c r="K66" s="173"/>
      <c r="L66" s="173"/>
      <c r="M66" s="90"/>
    </row>
    <row r="67" spans="1:13">
      <c r="A67" s="25"/>
      <c r="B67" s="25"/>
      <c r="C67" s="25"/>
      <c r="D67" s="90"/>
      <c r="E67" s="173"/>
      <c r="F67" s="173"/>
      <c r="G67" s="173"/>
      <c r="H67" s="173"/>
      <c r="I67" s="173"/>
      <c r="J67" s="173"/>
      <c r="K67" s="173"/>
      <c r="L67" s="173"/>
      <c r="M67" s="90"/>
    </row>
    <row r="68" spans="1:13">
      <c r="A68" s="25"/>
      <c r="B68" s="25"/>
      <c r="C68" s="25"/>
      <c r="D68" s="90"/>
      <c r="E68" s="173"/>
      <c r="F68" s="173"/>
      <c r="G68" s="173"/>
      <c r="H68" s="173"/>
      <c r="I68" s="173"/>
      <c r="J68" s="173"/>
      <c r="K68" s="173"/>
      <c r="L68" s="173"/>
      <c r="M68" s="90"/>
    </row>
    <row r="69" spans="1:13">
      <c r="A69" s="25"/>
      <c r="B69" s="25"/>
      <c r="C69" s="25"/>
      <c r="D69" s="90"/>
      <c r="E69" s="173"/>
      <c r="F69" s="173"/>
      <c r="G69" s="173"/>
      <c r="H69" s="173"/>
      <c r="I69" s="173"/>
      <c r="J69" s="173"/>
      <c r="K69" s="173"/>
      <c r="L69" s="173"/>
      <c r="M69" s="90"/>
    </row>
    <row r="70" spans="1:13">
      <c r="A70" s="25"/>
      <c r="B70" s="25"/>
      <c r="C70" s="25"/>
      <c r="D70" s="90"/>
      <c r="E70" s="173"/>
      <c r="F70" s="173"/>
      <c r="G70" s="173"/>
      <c r="H70" s="173"/>
      <c r="I70" s="173"/>
      <c r="J70" s="173"/>
      <c r="K70" s="173"/>
      <c r="L70" s="173"/>
      <c r="M70" s="90"/>
    </row>
    <row r="71" spans="1:13">
      <c r="A71" s="25"/>
      <c r="B71" s="25"/>
      <c r="C71" s="25"/>
      <c r="D71" s="90"/>
      <c r="E71" s="173"/>
      <c r="F71" s="173"/>
      <c r="G71" s="173"/>
      <c r="H71" s="173"/>
      <c r="I71" s="173"/>
      <c r="J71" s="173"/>
      <c r="K71" s="173"/>
      <c r="L71" s="173"/>
      <c r="M71" s="90"/>
    </row>
    <row r="72" spans="1:13">
      <c r="A72" s="25"/>
      <c r="B72" s="25"/>
      <c r="C72" s="25"/>
      <c r="D72" s="90"/>
      <c r="E72" s="173"/>
      <c r="F72" s="173"/>
      <c r="G72" s="173"/>
      <c r="H72" s="173"/>
      <c r="I72" s="173"/>
      <c r="J72" s="173"/>
      <c r="K72" s="173"/>
      <c r="L72" s="173"/>
      <c r="M72" s="90"/>
    </row>
    <row r="73" spans="1:13">
      <c r="A73" s="25"/>
      <c r="B73" s="25"/>
      <c r="C73" s="25"/>
      <c r="D73" s="90"/>
      <c r="E73" s="173"/>
      <c r="F73" s="173"/>
      <c r="G73" s="173"/>
      <c r="H73" s="173"/>
      <c r="I73" s="173"/>
      <c r="J73" s="173"/>
      <c r="K73" s="173"/>
      <c r="L73" s="173"/>
      <c r="M73" s="90"/>
    </row>
    <row r="74" spans="1:13">
      <c r="A74" s="25"/>
      <c r="B74" s="25"/>
      <c r="C74" s="25"/>
      <c r="D74" s="90"/>
      <c r="E74" s="173"/>
      <c r="F74" s="173"/>
      <c r="G74" s="173"/>
      <c r="H74" s="173"/>
      <c r="I74" s="173"/>
      <c r="J74" s="173"/>
      <c r="K74" s="173"/>
      <c r="L74" s="173"/>
      <c r="M74" s="90"/>
    </row>
    <row r="75" spans="1:13">
      <c r="A75" s="25"/>
      <c r="B75" s="25"/>
      <c r="C75" s="25"/>
      <c r="D75" s="90"/>
      <c r="E75" s="173"/>
      <c r="F75" s="173"/>
      <c r="G75" s="173"/>
      <c r="H75" s="173"/>
      <c r="I75" s="173"/>
      <c r="J75" s="173"/>
      <c r="K75" s="173"/>
      <c r="L75" s="173"/>
      <c r="M75" s="90"/>
    </row>
    <row r="76" spans="1:13">
      <c r="A76" s="25"/>
      <c r="B76" s="25"/>
      <c r="C76" s="25"/>
      <c r="D76" s="90"/>
      <c r="E76" s="173"/>
      <c r="F76" s="173"/>
      <c r="G76" s="173"/>
      <c r="H76" s="173"/>
      <c r="I76" s="173"/>
      <c r="J76" s="173"/>
      <c r="K76" s="173"/>
      <c r="L76" s="173"/>
      <c r="M76" s="90"/>
    </row>
    <row r="77" spans="1:13">
      <c r="A77" s="25"/>
      <c r="B77" s="25"/>
      <c r="C77" s="25"/>
      <c r="D77" s="90"/>
      <c r="E77" s="173"/>
      <c r="F77" s="173"/>
      <c r="G77" s="173"/>
      <c r="H77" s="173"/>
      <c r="I77" s="173"/>
      <c r="J77" s="173"/>
      <c r="K77" s="173"/>
      <c r="L77" s="173"/>
      <c r="M77" s="90"/>
    </row>
    <row r="78" spans="1:13">
      <c r="A78" s="25"/>
      <c r="B78" s="25"/>
      <c r="C78" s="25"/>
      <c r="D78" s="90"/>
      <c r="E78" s="173"/>
      <c r="F78" s="173"/>
      <c r="G78" s="173"/>
      <c r="H78" s="173"/>
      <c r="I78" s="173"/>
      <c r="J78" s="173"/>
      <c r="K78" s="173"/>
      <c r="L78" s="173"/>
      <c r="M78" s="90"/>
    </row>
    <row r="79" spans="1:13">
      <c r="A79" s="25"/>
      <c r="B79" s="25"/>
      <c r="C79" s="25"/>
      <c r="D79" s="90"/>
      <c r="E79" s="173"/>
      <c r="F79" s="173"/>
      <c r="G79" s="173"/>
      <c r="H79" s="173"/>
      <c r="I79" s="173"/>
      <c r="J79" s="173"/>
      <c r="K79" s="173"/>
      <c r="L79" s="173"/>
      <c r="M79" s="90"/>
    </row>
    <row r="80" spans="1:13">
      <c r="A80" s="25"/>
      <c r="B80" s="25"/>
      <c r="C80" s="25"/>
      <c r="D80" s="90"/>
      <c r="E80" s="173"/>
      <c r="F80" s="173"/>
      <c r="G80" s="173"/>
      <c r="H80" s="173"/>
      <c r="I80" s="173"/>
      <c r="J80" s="173"/>
      <c r="K80" s="173"/>
      <c r="L80" s="173"/>
      <c r="M80" s="90"/>
    </row>
    <row r="81" spans="1:13">
      <c r="A81" s="25"/>
      <c r="B81" s="25"/>
      <c r="C81" s="25"/>
      <c r="D81" s="90"/>
      <c r="E81" s="173"/>
      <c r="F81" s="173"/>
      <c r="G81" s="173"/>
      <c r="H81" s="173"/>
      <c r="I81" s="173"/>
      <c r="J81" s="173"/>
      <c r="K81" s="173"/>
      <c r="L81" s="173"/>
      <c r="M81" s="90"/>
    </row>
    <row r="82" spans="1:13">
      <c r="A82" s="25"/>
      <c r="B82" s="25"/>
      <c r="C82" s="25"/>
      <c r="D82" s="90"/>
      <c r="E82" s="173"/>
      <c r="F82" s="173"/>
      <c r="G82" s="173"/>
      <c r="H82" s="173"/>
      <c r="I82" s="173"/>
      <c r="J82" s="173"/>
      <c r="K82" s="173"/>
      <c r="L82" s="173"/>
      <c r="M82" s="90"/>
    </row>
    <row r="83" spans="1:13">
      <c r="A83" s="89" t="s">
        <v>103</v>
      </c>
      <c r="B83" s="29" t="s">
        <v>17</v>
      </c>
      <c r="C83" s="29" t="s">
        <v>17</v>
      </c>
      <c r="D83" s="173"/>
      <c r="E83" s="173"/>
      <c r="F83" s="173"/>
      <c r="G83" s="173"/>
      <c r="H83" s="173"/>
      <c r="I83" s="173"/>
      <c r="J83" s="173"/>
      <c r="K83" s="173"/>
      <c r="L83" s="90"/>
    </row>
    <row r="84" spans="1:13">
      <c r="A84" s="32" t="s">
        <v>19</v>
      </c>
      <c r="B84" s="33" t="s">
        <v>20</v>
      </c>
      <c r="C84" s="33" t="s">
        <v>234</v>
      </c>
      <c r="D84" s="173"/>
      <c r="E84" s="173"/>
      <c r="F84" s="173"/>
      <c r="G84" s="173"/>
      <c r="H84" s="173"/>
      <c r="I84" s="173"/>
      <c r="J84" s="173"/>
      <c r="K84" s="173"/>
      <c r="L84" s="90"/>
    </row>
    <row r="85" spans="1:13">
      <c r="A85" s="34" t="s">
        <v>84</v>
      </c>
      <c r="B85" s="184">
        <v>36250</v>
      </c>
      <c r="C85" s="27">
        <v>36250</v>
      </c>
      <c r="D85" s="90"/>
      <c r="E85" s="173"/>
      <c r="F85" s="173"/>
      <c r="G85" s="173"/>
      <c r="H85" s="173"/>
      <c r="I85" s="173"/>
      <c r="J85" s="173"/>
      <c r="K85" s="173"/>
      <c r="L85" s="173"/>
      <c r="M85" s="90"/>
    </row>
    <row r="86" spans="1:13" ht="18" customHeight="1">
      <c r="A86" s="40" t="s">
        <v>34</v>
      </c>
      <c r="B86" s="110">
        <f>B85</f>
        <v>36250</v>
      </c>
      <c r="C86" s="185">
        <f>36250</f>
        <v>36250</v>
      </c>
      <c r="D86" s="90"/>
      <c r="E86" s="27"/>
      <c r="H86" s="90"/>
      <c r="I86" s="90"/>
      <c r="J86" s="90"/>
      <c r="K86" s="90"/>
      <c r="L86" s="90"/>
      <c r="M86" s="90"/>
    </row>
    <row r="87" spans="1:13">
      <c r="A87" s="34"/>
      <c r="B87" s="35"/>
      <c r="C87" s="27"/>
      <c r="D87" s="90"/>
      <c r="E87" s="31"/>
      <c r="H87" s="93"/>
      <c r="I87" s="91"/>
      <c r="J87" s="92"/>
      <c r="K87" s="91"/>
      <c r="L87" s="92"/>
      <c r="M87" s="92"/>
    </row>
    <row r="88" spans="1:13">
      <c r="A88" s="35"/>
      <c r="B88" s="61"/>
      <c r="C88" s="27"/>
      <c r="D88" s="90"/>
      <c r="E88" s="27"/>
      <c r="H88" s="94"/>
      <c r="I88" s="90"/>
      <c r="J88" s="90"/>
      <c r="K88" s="90"/>
      <c r="L88" s="90"/>
      <c r="M88" s="90"/>
    </row>
    <row r="89" spans="1:13">
      <c r="A89" s="43" t="s">
        <v>35</v>
      </c>
      <c r="B89" s="83"/>
      <c r="C89" s="83"/>
      <c r="D89" s="90"/>
      <c r="E89" s="27"/>
      <c r="H89" s="97"/>
      <c r="I89" s="90"/>
      <c r="J89" s="90"/>
      <c r="K89" s="90"/>
      <c r="L89" s="90"/>
      <c r="M89" s="90"/>
    </row>
    <row r="90" spans="1:13">
      <c r="A90" s="25" t="s">
        <v>86</v>
      </c>
      <c r="B90" s="25">
        <v>10000</v>
      </c>
      <c r="C90" s="27">
        <v>9000</v>
      </c>
      <c r="D90" s="90"/>
      <c r="E90" s="27"/>
      <c r="H90" s="90"/>
      <c r="I90" s="90"/>
      <c r="J90" s="90"/>
      <c r="K90" s="90"/>
      <c r="L90" s="90"/>
      <c r="M90" s="90"/>
    </row>
    <row r="91" spans="1:13">
      <c r="A91" s="25" t="s">
        <v>87</v>
      </c>
      <c r="B91" s="25">
        <v>4000</v>
      </c>
      <c r="C91" s="82">
        <v>5000</v>
      </c>
      <c r="D91" s="90"/>
      <c r="E91" s="27"/>
      <c r="H91" s="94"/>
      <c r="I91" s="90"/>
      <c r="J91" s="90"/>
      <c r="K91" s="90"/>
      <c r="L91" s="90"/>
      <c r="M91" s="90"/>
    </row>
    <row r="92" spans="1:13">
      <c r="A92" s="25" t="s">
        <v>88</v>
      </c>
      <c r="B92" s="25">
        <v>3000</v>
      </c>
      <c r="C92" s="25">
        <v>3000</v>
      </c>
      <c r="D92" s="90"/>
      <c r="E92" s="61"/>
      <c r="H92" s="90"/>
      <c r="I92" s="99"/>
      <c r="J92" s="100"/>
      <c r="K92" s="99"/>
      <c r="L92" s="100"/>
      <c r="M92" s="100"/>
    </row>
    <row r="93" spans="1:13">
      <c r="A93" s="25" t="s">
        <v>104</v>
      </c>
      <c r="B93" s="25">
        <v>500</v>
      </c>
      <c r="C93" s="25">
        <v>500</v>
      </c>
      <c r="D93" s="90"/>
      <c r="E93" s="61"/>
      <c r="H93" s="93"/>
      <c r="I93" s="99"/>
      <c r="J93" s="100"/>
      <c r="K93" s="99"/>
      <c r="L93" s="100"/>
      <c r="M93" s="100"/>
    </row>
    <row r="94" spans="1:13">
      <c r="A94" s="25" t="s">
        <v>105</v>
      </c>
      <c r="B94" s="25">
        <v>250</v>
      </c>
      <c r="C94" s="25">
        <v>250</v>
      </c>
      <c r="D94" s="90"/>
      <c r="E94" s="27"/>
      <c r="H94" s="90"/>
      <c r="I94" s="95"/>
      <c r="J94" s="90"/>
      <c r="K94" s="90"/>
      <c r="L94" s="90"/>
      <c r="M94" s="90"/>
    </row>
    <row r="95" spans="1:13">
      <c r="A95" s="25" t="s">
        <v>89</v>
      </c>
      <c r="B95" s="39">
        <v>500</v>
      </c>
      <c r="C95" s="39">
        <v>500</v>
      </c>
      <c r="D95" s="90"/>
      <c r="E95" s="27"/>
      <c r="H95" s="90"/>
      <c r="I95" s="95"/>
      <c r="J95" s="90"/>
      <c r="K95" s="90"/>
      <c r="L95" s="90"/>
      <c r="M95" s="90"/>
    </row>
    <row r="96" spans="1:13" ht="21" customHeight="1">
      <c r="A96" s="62" t="s">
        <v>37</v>
      </c>
      <c r="B96" s="110">
        <f>SUM(B90:B95)</f>
        <v>18250</v>
      </c>
      <c r="C96" s="176">
        <f>SUM(C90:C95)</f>
        <v>18250</v>
      </c>
      <c r="D96" s="90"/>
      <c r="E96" s="27"/>
      <c r="H96" s="90"/>
      <c r="I96" s="95"/>
      <c r="J96" s="90"/>
      <c r="K96" s="90"/>
      <c r="L96" s="90"/>
      <c r="M96" s="90"/>
    </row>
    <row r="97" spans="1:13">
      <c r="A97" s="164"/>
      <c r="B97" s="164"/>
      <c r="C97" s="130"/>
      <c r="D97" s="90"/>
      <c r="E97" s="27"/>
      <c r="H97" s="102"/>
      <c r="I97" s="98"/>
      <c r="J97" s="90"/>
      <c r="K97" s="90"/>
      <c r="L97" s="90"/>
      <c r="M97" s="90"/>
    </row>
    <row r="98" spans="1:13" ht="21" customHeight="1" thickBot="1">
      <c r="A98" s="62" t="s">
        <v>241</v>
      </c>
      <c r="B98" s="63">
        <f>B86-B96</f>
        <v>18000</v>
      </c>
      <c r="C98" s="177">
        <f>C86-C96</f>
        <v>18000</v>
      </c>
      <c r="D98" s="90"/>
      <c r="E98" s="27"/>
      <c r="H98" s="90"/>
      <c r="I98" s="90"/>
      <c r="J98" s="90"/>
      <c r="K98" s="90"/>
      <c r="L98" s="90"/>
      <c r="M98" s="90"/>
    </row>
    <row r="99" spans="1:13" ht="15" thickTop="1">
      <c r="A99" s="25"/>
      <c r="B99" s="25"/>
      <c r="C99" s="27"/>
      <c r="D99" s="90"/>
      <c r="E99" s="27"/>
    </row>
    <row r="100" spans="1:13">
      <c r="A100" s="50"/>
      <c r="B100" s="50"/>
      <c r="C100" s="27"/>
      <c r="D100" s="90"/>
      <c r="E100" s="27"/>
    </row>
    <row r="101" spans="1:13">
      <c r="A101" s="89" t="s">
        <v>106</v>
      </c>
      <c r="B101" s="103" t="s">
        <v>17</v>
      </c>
      <c r="C101" s="103" t="s">
        <v>17</v>
      </c>
      <c r="D101" s="90"/>
      <c r="E101" s="27"/>
    </row>
    <row r="102" spans="1:13">
      <c r="A102" s="104" t="s">
        <v>19</v>
      </c>
      <c r="B102" s="105" t="s">
        <v>20</v>
      </c>
      <c r="C102" s="105" t="s">
        <v>234</v>
      </c>
      <c r="D102" s="90"/>
      <c r="E102" s="27"/>
    </row>
    <row r="103" spans="1:13">
      <c r="A103" s="34" t="s">
        <v>84</v>
      </c>
      <c r="B103" s="35">
        <v>10000</v>
      </c>
      <c r="C103" s="27">
        <v>11500</v>
      </c>
      <c r="D103" s="90"/>
      <c r="E103" s="27"/>
    </row>
    <row r="104" spans="1:13">
      <c r="A104" s="34" t="s">
        <v>95</v>
      </c>
      <c r="B104" s="39">
        <v>1000</v>
      </c>
      <c r="C104" s="90">
        <v>0</v>
      </c>
      <c r="D104" s="27"/>
    </row>
    <row r="105" spans="1:13" ht="20" customHeight="1">
      <c r="A105" s="40" t="s">
        <v>34</v>
      </c>
      <c r="B105" s="134">
        <f>SUM(B103:B104)</f>
        <v>11000</v>
      </c>
      <c r="C105" s="187">
        <f>SUM(C103,C104)</f>
        <v>11500</v>
      </c>
      <c r="D105" s="27"/>
    </row>
    <row r="106" spans="1:13">
      <c r="A106" s="34"/>
      <c r="B106" s="35"/>
      <c r="C106" s="27"/>
      <c r="D106" s="90"/>
      <c r="E106" s="31"/>
    </row>
    <row r="107" spans="1:13">
      <c r="A107" s="27"/>
      <c r="B107" s="61"/>
      <c r="C107" s="27"/>
      <c r="D107" s="90"/>
      <c r="E107" s="31"/>
    </row>
    <row r="108" spans="1:13">
      <c r="A108" s="107" t="s">
        <v>35</v>
      </c>
      <c r="B108" s="108"/>
      <c r="C108" s="108"/>
      <c r="D108" s="90"/>
      <c r="E108" s="27"/>
    </row>
    <row r="109" spans="1:13">
      <c r="A109" s="34" t="s">
        <v>86</v>
      </c>
      <c r="B109" s="25">
        <v>5500</v>
      </c>
      <c r="C109" s="25">
        <v>5500</v>
      </c>
      <c r="D109" s="90"/>
      <c r="E109" s="27"/>
    </row>
    <row r="110" spans="1:13">
      <c r="A110" s="34" t="s">
        <v>87</v>
      </c>
      <c r="B110" s="25">
        <v>2000</v>
      </c>
      <c r="C110" s="25">
        <v>2000</v>
      </c>
      <c r="D110" s="90"/>
      <c r="E110" s="27"/>
    </row>
    <row r="111" spans="1:13">
      <c r="A111" s="36" t="s">
        <v>88</v>
      </c>
      <c r="B111" s="25">
        <v>2000</v>
      </c>
      <c r="C111" s="25">
        <v>2000</v>
      </c>
      <c r="D111" s="90"/>
      <c r="E111" s="61"/>
    </row>
    <row r="112" spans="1:13">
      <c r="A112" s="36" t="s">
        <v>105</v>
      </c>
      <c r="B112" s="25">
        <v>250</v>
      </c>
      <c r="C112" s="25">
        <v>250</v>
      </c>
      <c r="D112" s="90"/>
      <c r="E112" s="27"/>
    </row>
    <row r="113" spans="1:5" ht="22" customHeight="1">
      <c r="A113" s="58" t="s">
        <v>37</v>
      </c>
      <c r="B113" s="110">
        <f>SUM(B109:B112)</f>
        <v>9750</v>
      </c>
      <c r="C113" s="110">
        <f>SUM(C109:C112)</f>
        <v>9750</v>
      </c>
      <c r="D113" s="90"/>
      <c r="E113" s="27"/>
    </row>
    <row r="114" spans="1:5">
      <c r="A114" s="25"/>
      <c r="B114" s="25"/>
      <c r="C114" s="27"/>
      <c r="D114" s="90"/>
      <c r="E114" s="27"/>
    </row>
    <row r="115" spans="1:5" ht="21" customHeight="1" thickBot="1">
      <c r="A115" s="40" t="s">
        <v>107</v>
      </c>
      <c r="B115" s="152">
        <f>B105-B113</f>
        <v>1250</v>
      </c>
      <c r="C115" s="152">
        <f>C105-C113</f>
        <v>1750</v>
      </c>
      <c r="D115" s="186"/>
      <c r="E115" s="27"/>
    </row>
    <row r="116" spans="1:5" ht="15" thickTop="1">
      <c r="A116" s="25"/>
      <c r="B116" s="25"/>
      <c r="C116" s="27"/>
      <c r="D116" s="90"/>
      <c r="E116" s="27"/>
    </row>
    <row r="117" spans="1:5">
      <c r="A117" s="25"/>
      <c r="B117" s="25"/>
      <c r="C117" s="27"/>
      <c r="D117" s="90"/>
      <c r="E117" s="27"/>
    </row>
    <row r="118" spans="1:5">
      <c r="A118" s="41" t="s">
        <v>108</v>
      </c>
      <c r="B118" s="29" t="s">
        <v>17</v>
      </c>
      <c r="C118" s="29" t="s">
        <v>17</v>
      </c>
      <c r="D118" s="90"/>
      <c r="E118" s="27"/>
    </row>
    <row r="119" spans="1:5">
      <c r="A119" s="32" t="s">
        <v>19</v>
      </c>
      <c r="B119" s="33" t="s">
        <v>20</v>
      </c>
      <c r="C119" s="33" t="s">
        <v>234</v>
      </c>
      <c r="D119" s="90"/>
      <c r="E119" s="27"/>
    </row>
    <row r="120" spans="1:5" ht="16" customHeight="1">
      <c r="A120" s="34" t="s">
        <v>84</v>
      </c>
      <c r="B120" s="72">
        <v>55000</v>
      </c>
      <c r="C120" s="27">
        <v>58000</v>
      </c>
      <c r="D120" s="90"/>
      <c r="E120" s="27"/>
    </row>
    <row r="121" spans="1:5" ht="21" customHeight="1">
      <c r="A121" s="40" t="s">
        <v>34</v>
      </c>
      <c r="B121" s="134">
        <f>SUM(B120)</f>
        <v>55000</v>
      </c>
      <c r="C121" s="110">
        <f>SUM(C120)</f>
        <v>58000</v>
      </c>
      <c r="D121" s="186"/>
      <c r="E121" s="27"/>
    </row>
    <row r="122" spans="1:5">
      <c r="A122" s="25"/>
      <c r="B122" s="35"/>
      <c r="C122" s="42"/>
      <c r="D122" s="90"/>
      <c r="E122" s="27"/>
    </row>
    <row r="123" spans="1:5">
      <c r="A123" s="35"/>
      <c r="B123" s="61"/>
      <c r="C123" s="27"/>
      <c r="D123" s="90"/>
      <c r="E123" s="31"/>
    </row>
    <row r="124" spans="1:5">
      <c r="A124" s="43" t="s">
        <v>35</v>
      </c>
      <c r="B124" s="83"/>
      <c r="C124" s="83"/>
      <c r="D124" s="90"/>
      <c r="E124" s="31"/>
    </row>
    <row r="125" spans="1:5">
      <c r="A125" s="34" t="s">
        <v>86</v>
      </c>
      <c r="B125" s="25">
        <v>15500</v>
      </c>
      <c r="C125" s="25">
        <v>15500</v>
      </c>
      <c r="D125" s="90"/>
      <c r="E125" s="27"/>
    </row>
    <row r="126" spans="1:5">
      <c r="A126" s="34" t="s">
        <v>87</v>
      </c>
      <c r="B126" s="25">
        <v>14000</v>
      </c>
      <c r="C126" s="25">
        <v>14000</v>
      </c>
      <c r="D126" s="90"/>
      <c r="E126" s="27"/>
    </row>
    <row r="127" spans="1:5">
      <c r="A127" s="34" t="s">
        <v>88</v>
      </c>
      <c r="B127" s="25">
        <v>2500</v>
      </c>
      <c r="C127" s="25">
        <v>3000</v>
      </c>
      <c r="D127" s="90"/>
      <c r="E127" s="61"/>
    </row>
    <row r="128" spans="1:5">
      <c r="A128" s="36" t="s">
        <v>109</v>
      </c>
      <c r="B128" s="25">
        <v>6000</v>
      </c>
      <c r="C128" s="25">
        <v>6000</v>
      </c>
      <c r="D128" s="90"/>
      <c r="E128" s="61"/>
    </row>
    <row r="129" spans="1:5">
      <c r="A129" s="34" t="s">
        <v>110</v>
      </c>
      <c r="B129" s="25">
        <v>5500</v>
      </c>
      <c r="C129" s="25">
        <v>5500</v>
      </c>
      <c r="D129" s="90"/>
      <c r="E129" s="27"/>
    </row>
    <row r="130" spans="1:5" ht="16" customHeight="1">
      <c r="A130" s="34" t="s">
        <v>111</v>
      </c>
      <c r="B130" s="25">
        <v>1500</v>
      </c>
      <c r="C130" s="25">
        <v>1500</v>
      </c>
      <c r="D130" s="90"/>
      <c r="E130" s="27"/>
    </row>
    <row r="131" spans="1:5" ht="23" customHeight="1">
      <c r="A131" s="62" t="s">
        <v>37</v>
      </c>
      <c r="B131" s="110">
        <f>SUM(B125:B130)</f>
        <v>45000</v>
      </c>
      <c r="C131" s="176">
        <f>SUM(C125:C130)</f>
        <v>45500</v>
      </c>
      <c r="D131" s="186"/>
      <c r="E131" s="27"/>
    </row>
    <row r="132" spans="1:5">
      <c r="A132" s="164"/>
      <c r="B132" s="164"/>
      <c r="C132" s="130"/>
      <c r="D132" s="90"/>
      <c r="E132" s="27"/>
    </row>
    <row r="133" spans="1:5" ht="20" customHeight="1" thickBot="1">
      <c r="A133" s="40" t="s">
        <v>112</v>
      </c>
      <c r="B133" s="152">
        <f>B121-B131</f>
        <v>10000</v>
      </c>
      <c r="C133" s="152">
        <f>C121-C131</f>
        <v>12500</v>
      </c>
      <c r="D133" s="90"/>
      <c r="E133" s="27"/>
    </row>
    <row r="134" spans="1:5" ht="15" thickTop="1">
      <c r="A134" s="25"/>
      <c r="B134" s="25"/>
      <c r="C134" s="27"/>
      <c r="D134" s="90"/>
      <c r="E134" s="27"/>
    </row>
    <row r="135" spans="1:5">
      <c r="A135" s="25"/>
      <c r="B135" s="25"/>
      <c r="C135" s="27"/>
      <c r="D135" s="90"/>
      <c r="E135" s="27"/>
    </row>
    <row r="136" spans="1:5">
      <c r="A136" s="89" t="s">
        <v>113</v>
      </c>
      <c r="B136" s="103" t="s">
        <v>17</v>
      </c>
      <c r="C136" s="103" t="s">
        <v>17</v>
      </c>
      <c r="D136" s="90"/>
      <c r="E136" s="27"/>
    </row>
    <row r="137" spans="1:5">
      <c r="A137" s="104" t="s">
        <v>19</v>
      </c>
      <c r="B137" s="105" t="s">
        <v>20</v>
      </c>
      <c r="C137" s="105" t="s">
        <v>234</v>
      </c>
      <c r="D137" s="90"/>
      <c r="E137" s="27"/>
    </row>
    <row r="138" spans="1:5">
      <c r="A138" s="34"/>
      <c r="B138" s="72">
        <v>0</v>
      </c>
      <c r="C138" s="27">
        <v>0</v>
      </c>
      <c r="D138" s="90"/>
      <c r="E138" s="27"/>
    </row>
    <row r="139" spans="1:5" ht="22" customHeight="1">
      <c r="A139" s="40" t="s">
        <v>34</v>
      </c>
      <c r="B139" s="134">
        <f>B138</f>
        <v>0</v>
      </c>
      <c r="C139" s="110">
        <f>C138</f>
        <v>0</v>
      </c>
      <c r="D139" s="90"/>
      <c r="E139" s="27"/>
    </row>
    <row r="140" spans="1:5">
      <c r="A140" s="25"/>
      <c r="B140" s="35"/>
      <c r="C140" s="42"/>
      <c r="D140" s="90"/>
      <c r="E140" s="27"/>
    </row>
    <row r="141" spans="1:5">
      <c r="A141" s="27"/>
      <c r="B141" s="61"/>
      <c r="C141" s="27"/>
      <c r="D141" s="90"/>
      <c r="E141" s="31"/>
    </row>
    <row r="142" spans="1:5">
      <c r="A142" s="107" t="s">
        <v>35</v>
      </c>
      <c r="B142" s="108"/>
      <c r="C142" s="108"/>
      <c r="D142" s="90"/>
      <c r="E142" s="31"/>
    </row>
    <row r="143" spans="1:5">
      <c r="A143" s="25" t="s">
        <v>114</v>
      </c>
      <c r="B143" s="25">
        <v>1030</v>
      </c>
      <c r="C143" s="25">
        <v>1030</v>
      </c>
      <c r="D143" s="90"/>
      <c r="E143" s="27"/>
    </row>
    <row r="144" spans="1:5">
      <c r="A144" s="25" t="s">
        <v>115</v>
      </c>
      <c r="B144" s="25">
        <v>500</v>
      </c>
      <c r="C144" s="25">
        <v>500</v>
      </c>
      <c r="D144" s="90"/>
      <c r="E144" s="27"/>
    </row>
    <row r="145" spans="1:6">
      <c r="A145" s="25" t="s">
        <v>116</v>
      </c>
      <c r="B145" s="39">
        <v>11000</v>
      </c>
      <c r="C145" s="39">
        <v>11000</v>
      </c>
      <c r="D145" s="90"/>
      <c r="E145" s="27"/>
    </row>
    <row r="146" spans="1:6">
      <c r="A146" s="62" t="s">
        <v>37</v>
      </c>
      <c r="B146" s="134">
        <f>SUM(B143:B145)</f>
        <v>12530</v>
      </c>
      <c r="C146" s="134">
        <f>SUM(C143:C145)</f>
        <v>12530</v>
      </c>
      <c r="D146" s="90"/>
      <c r="E146" s="61"/>
    </row>
    <row r="147" spans="1:6">
      <c r="A147" s="164"/>
      <c r="B147" s="164"/>
      <c r="C147" s="130"/>
      <c r="D147" s="90"/>
      <c r="E147" s="61"/>
    </row>
    <row r="148" spans="1:6" ht="15" thickBot="1">
      <c r="A148" s="62" t="s">
        <v>289</v>
      </c>
      <c r="B148" s="152">
        <f>B139-B146</f>
        <v>-12530</v>
      </c>
      <c r="C148" s="152">
        <f>C139-C146</f>
        <v>-12530</v>
      </c>
      <c r="D148" s="90"/>
      <c r="E148" s="27"/>
    </row>
    <row r="149" spans="1:6" ht="15" thickTop="1">
      <c r="A149" s="25"/>
      <c r="B149" s="25"/>
      <c r="C149" s="25"/>
      <c r="D149" s="27"/>
      <c r="E149" s="90"/>
      <c r="F149" s="27"/>
    </row>
    <row r="150" spans="1:6">
      <c r="A150" s="25"/>
      <c r="B150" s="25"/>
      <c r="C150" s="25"/>
      <c r="D150" s="27"/>
      <c r="E150" s="90"/>
      <c r="F150" s="27"/>
    </row>
    <row r="151" spans="1:6">
      <c r="A151" s="25"/>
      <c r="B151" s="25"/>
      <c r="C151" s="25"/>
      <c r="D151" s="27"/>
      <c r="E151" s="90"/>
      <c r="F151" s="27"/>
    </row>
    <row r="152" spans="1:6">
      <c r="D152" s="27"/>
      <c r="E152" s="90"/>
      <c r="F152" s="27"/>
    </row>
    <row r="153" spans="1:6">
      <c r="D153" s="27"/>
      <c r="E153" s="90"/>
      <c r="F153" s="27"/>
    </row>
    <row r="154" spans="1:6">
      <c r="D154" s="25"/>
      <c r="E154" s="90"/>
      <c r="F154" s="27"/>
    </row>
    <row r="155" spans="1:6">
      <c r="E155" s="90"/>
      <c r="F155" s="27"/>
    </row>
    <row r="156" spans="1:6">
      <c r="E156" s="25"/>
      <c r="F156" s="25"/>
    </row>
  </sheetData>
  <phoneticPr fontId="13" type="noConversion"/>
  <pageMargins left="0.7" right="0.7" top="0.75" bottom="0.75" header="0.3" footer="0.3"/>
  <pageSetup scale="59" fitToHeight="2" orientation="portrait" horizontalDpi="4294967292" verticalDpi="4294967292"/>
  <rowBreaks count="2" manualBreakCount="2">
    <brk id="78" max="16383" man="1"/>
    <brk id="154" max="16383" man="1"/>
  </rowBreaks>
  <colBreaks count="1" manualBreakCount="1">
    <brk id="5" max="1048575" man="1"/>
  </colBreaks>
  <legacy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view="pageLayout" workbookViewId="0">
      <selection activeCell="B6" sqref="B6"/>
    </sheetView>
  </sheetViews>
  <sheetFormatPr baseColWidth="10" defaultColWidth="10.83203125" defaultRowHeight="14" x14ac:dyDescent="0"/>
  <cols>
    <col min="1" max="1" width="35.83203125" style="88" customWidth="1"/>
    <col min="2" max="3" width="15.83203125" style="88" customWidth="1"/>
    <col min="4" max="16384" width="10.83203125" style="88"/>
  </cols>
  <sheetData>
    <row r="1" spans="1:5" ht="24">
      <c r="A1" s="24" t="s">
        <v>243</v>
      </c>
    </row>
    <row r="2" spans="1:5" ht="24">
      <c r="A2" s="26" t="s">
        <v>25</v>
      </c>
    </row>
    <row r="3" spans="1:5">
      <c r="D3" s="90"/>
      <c r="E3" s="90"/>
    </row>
    <row r="4" spans="1:5">
      <c r="A4" s="25"/>
      <c r="B4" s="25"/>
      <c r="C4" s="25"/>
      <c r="D4" s="27"/>
      <c r="E4" s="27"/>
    </row>
    <row r="5" spans="1:5">
      <c r="A5" s="28"/>
      <c r="B5" s="29" t="s">
        <v>17</v>
      </c>
      <c r="C5" s="29" t="s">
        <v>17</v>
      </c>
      <c r="D5" s="27"/>
    </row>
    <row r="6" spans="1:5">
      <c r="A6" s="32" t="s">
        <v>19</v>
      </c>
      <c r="B6" s="33"/>
      <c r="C6" s="33" t="s">
        <v>234</v>
      </c>
      <c r="D6" s="27"/>
    </row>
    <row r="7" spans="1:5">
      <c r="A7" s="34" t="s">
        <v>123</v>
      </c>
      <c r="B7" s="35">
        <v>1500</v>
      </c>
      <c r="C7" s="27">
        <v>1500</v>
      </c>
      <c r="D7" s="27"/>
    </row>
    <row r="8" spans="1:5">
      <c r="A8" s="34" t="s">
        <v>122</v>
      </c>
      <c r="B8" s="35">
        <v>0</v>
      </c>
      <c r="C8" s="27">
        <v>6000</v>
      </c>
      <c r="D8" s="27"/>
    </row>
    <row r="9" spans="1:5">
      <c r="A9" s="34" t="s">
        <v>242</v>
      </c>
      <c r="B9" s="35">
        <v>0</v>
      </c>
      <c r="C9" s="27">
        <v>12000</v>
      </c>
      <c r="D9" s="27"/>
    </row>
    <row r="10" spans="1:5">
      <c r="A10" s="34" t="s">
        <v>282</v>
      </c>
      <c r="B10" s="39">
        <v>1500</v>
      </c>
      <c r="C10" s="27">
        <v>0</v>
      </c>
      <c r="D10" s="27"/>
    </row>
    <row r="11" spans="1:5" ht="19" customHeight="1">
      <c r="A11" s="73" t="s">
        <v>34</v>
      </c>
      <c r="B11" s="41">
        <f>SUM(B7:B10)</f>
        <v>3000</v>
      </c>
      <c r="C11" s="183">
        <f>SUM(C7:C10)</f>
        <v>19500</v>
      </c>
      <c r="D11" s="27"/>
    </row>
    <row r="12" spans="1:5">
      <c r="A12" s="34"/>
      <c r="B12" s="35"/>
      <c r="C12" s="27"/>
      <c r="D12" s="27"/>
    </row>
    <row r="13" spans="1:5">
      <c r="A13" s="34"/>
      <c r="B13" s="35"/>
      <c r="C13" s="27"/>
      <c r="D13" s="27"/>
    </row>
    <row r="14" spans="1:5">
      <c r="A14" s="81" t="s">
        <v>35</v>
      </c>
      <c r="B14" s="44"/>
      <c r="C14" s="44"/>
      <c r="D14" s="27"/>
    </row>
    <row r="15" spans="1:5">
      <c r="A15" s="36" t="s">
        <v>38</v>
      </c>
      <c r="B15" s="35">
        <v>25000</v>
      </c>
      <c r="C15" s="27">
        <v>10000</v>
      </c>
      <c r="D15" s="27"/>
    </row>
    <row r="16" spans="1:5">
      <c r="A16" s="34" t="s">
        <v>288</v>
      </c>
      <c r="B16" s="38">
        <v>6000</v>
      </c>
      <c r="C16" s="27">
        <v>6000</v>
      </c>
      <c r="D16" s="27"/>
    </row>
    <row r="17" spans="1:7">
      <c r="A17" s="34" t="s">
        <v>124</v>
      </c>
      <c r="B17" s="35">
        <v>3000</v>
      </c>
      <c r="C17" s="27">
        <v>3000</v>
      </c>
      <c r="D17" s="27"/>
    </row>
    <row r="18" spans="1:7">
      <c r="A18" s="34" t="s">
        <v>279</v>
      </c>
      <c r="B18" s="35">
        <v>0</v>
      </c>
      <c r="C18" s="27">
        <v>6000</v>
      </c>
      <c r="D18" s="27"/>
    </row>
    <row r="19" spans="1:7">
      <c r="A19" s="34" t="s">
        <v>280</v>
      </c>
      <c r="B19" s="35">
        <v>0</v>
      </c>
      <c r="C19" s="25">
        <v>7200</v>
      </c>
      <c r="D19" s="27"/>
    </row>
    <row r="20" spans="1:7">
      <c r="A20" s="34" t="s">
        <v>125</v>
      </c>
      <c r="B20" s="35">
        <f>'Honorarium Breakdown'!B35</f>
        <v>8252.5</v>
      </c>
      <c r="C20" s="27">
        <f>'Honorarium Breakdown'!E35</f>
        <v>4590</v>
      </c>
      <c r="D20" s="27"/>
    </row>
    <row r="21" spans="1:7">
      <c r="A21" s="46" t="s">
        <v>282</v>
      </c>
      <c r="B21" s="25">
        <v>2500</v>
      </c>
      <c r="C21" s="27">
        <v>2500</v>
      </c>
      <c r="D21" s="27"/>
    </row>
    <row r="22" spans="1:7" ht="19" customHeight="1">
      <c r="A22" s="40" t="s">
        <v>37</v>
      </c>
      <c r="B22" s="110">
        <f>SUM(B15:B21)</f>
        <v>44752.5</v>
      </c>
      <c r="C22" s="241">
        <f>SUM(C15:C21)</f>
        <v>39290</v>
      </c>
      <c r="D22" s="27"/>
    </row>
    <row r="23" spans="1:7">
      <c r="D23" s="27"/>
      <c r="E23" s="27"/>
    </row>
    <row r="24" spans="1:7" ht="19" customHeight="1" thickBot="1">
      <c r="A24" s="62" t="s">
        <v>232</v>
      </c>
      <c r="B24" s="192">
        <f>B11-B22</f>
        <v>-41752.5</v>
      </c>
      <c r="C24" s="196">
        <f>C11-C22</f>
        <v>-19790</v>
      </c>
      <c r="D24" s="27"/>
      <c r="E24" s="27"/>
    </row>
    <row r="25" spans="1:7" ht="15" thickTop="1">
      <c r="A25" s="36"/>
      <c r="B25" s="36"/>
      <c r="C25" s="35"/>
      <c r="D25" s="27"/>
      <c r="E25" s="27"/>
    </row>
    <row r="26" spans="1:7">
      <c r="A26" s="36"/>
      <c r="B26" s="36"/>
      <c r="C26" s="35"/>
      <c r="D26" s="27"/>
      <c r="E26" s="27"/>
      <c r="F26" s="35"/>
      <c r="G26" s="25"/>
    </row>
    <row r="27" spans="1:7">
      <c r="A27" s="112"/>
      <c r="B27" s="112"/>
      <c r="C27" s="113"/>
      <c r="D27" s="90"/>
      <c r="E27" s="90"/>
      <c r="F27" s="113"/>
    </row>
    <row r="28" spans="1:7">
      <c r="A28" s="112"/>
      <c r="C28" s="113"/>
      <c r="D28" s="90"/>
      <c r="E28" s="90"/>
      <c r="F28" s="113"/>
    </row>
    <row r="29" spans="1:7">
      <c r="A29" s="112"/>
      <c r="B29" s="112"/>
      <c r="C29" s="113"/>
      <c r="D29" s="90"/>
      <c r="E29" s="90"/>
      <c r="F29" s="113"/>
    </row>
    <row r="30" spans="1:7">
      <c r="A30" s="112"/>
      <c r="B30" s="112"/>
      <c r="C30" s="113"/>
      <c r="D30" s="113"/>
      <c r="E30" s="113"/>
      <c r="F30" s="113"/>
    </row>
    <row r="31" spans="1:7">
      <c r="A31" s="112"/>
      <c r="B31" s="112"/>
      <c r="C31" s="113"/>
      <c r="D31" s="113"/>
      <c r="E31" s="113"/>
      <c r="F31" s="113"/>
    </row>
    <row r="32" spans="1:7">
      <c r="A32" s="112"/>
      <c r="B32" s="112"/>
      <c r="C32" s="113"/>
      <c r="D32" s="113"/>
      <c r="E32" s="113"/>
      <c r="F32" s="113"/>
    </row>
    <row r="33" spans="1:6">
      <c r="A33" s="112"/>
      <c r="B33" s="112"/>
      <c r="C33" s="113"/>
      <c r="D33" s="113"/>
      <c r="E33" s="113"/>
      <c r="F33" s="113"/>
    </row>
    <row r="34" spans="1:6">
      <c r="A34" s="112"/>
      <c r="B34" s="112"/>
      <c r="C34" s="113"/>
      <c r="D34" s="113"/>
      <c r="E34" s="113"/>
      <c r="F34" s="113"/>
    </row>
  </sheetData>
  <phoneticPr fontId="13" type="noConversion"/>
  <pageMargins left="0.7" right="0.7" top="0.75" bottom="0.75" header="0.3" footer="0.3"/>
  <pageSetup orientation="portrait" horizontalDpi="4294967292" verticalDpi="4294967292"/>
  <rowBreaks count="1" manualBreakCount="1">
    <brk id="33" max="16383" man="1"/>
  </rowBreaks>
  <legacy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Cover Page</vt:lpstr>
      <vt:lpstr>Student Fee Breakdown</vt:lpstr>
      <vt:lpstr>Over-all Summary</vt:lpstr>
      <vt:lpstr>General Operations</vt:lpstr>
      <vt:lpstr>Representative Council</vt:lpstr>
      <vt:lpstr>Executive</vt:lpstr>
      <vt:lpstr>Activities and Events Consolida</vt:lpstr>
      <vt:lpstr>Activities and Events 1</vt:lpstr>
      <vt:lpstr>Communications</vt:lpstr>
      <vt:lpstr>Residence Affairs</vt:lpstr>
      <vt:lpstr>External Affairs</vt:lpstr>
      <vt:lpstr>Finance</vt:lpstr>
      <vt:lpstr>SFRC</vt:lpstr>
      <vt:lpstr>Drive U</vt:lpstr>
      <vt:lpstr>Golden X Inn</vt:lpstr>
      <vt:lpstr>Info Desk</vt:lpstr>
      <vt:lpstr>CFXU</vt:lpstr>
      <vt:lpstr>XAVERIAN WEEKLY</vt:lpstr>
      <vt:lpstr>Honorarium Breakdown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Chad Hasegawa</cp:lastModifiedBy>
  <cp:lastPrinted>2017-03-30T21:56:08Z</cp:lastPrinted>
  <dcterms:created xsi:type="dcterms:W3CDTF">2016-03-30T01:51:26Z</dcterms:created>
  <dcterms:modified xsi:type="dcterms:W3CDTF">2017-05-23T13:14:48Z</dcterms:modified>
</cp:coreProperties>
</file>